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12570" windowHeight="5520" activeTab="1"/>
  </bookViews>
  <sheets>
    <sheet name="G1" sheetId="6" r:id="rId1"/>
    <sheet name="G2" sheetId="7" r:id="rId2"/>
  </sheets>
  <calcPr calcId="181029" calcMode="manual"/>
</workbook>
</file>

<file path=xl/calcChain.xml><?xml version="1.0" encoding="utf-8"?>
<calcChain xmlns="http://schemas.openxmlformats.org/spreadsheetml/2006/main">
  <c r="M16" i="7"/>
  <c r="L16"/>
  <c r="M15"/>
  <c r="L15"/>
  <c r="AJ18"/>
  <c r="AJ17"/>
  <c r="AJ20"/>
  <c r="AJ19"/>
  <c r="AJ16"/>
  <c r="AJ15"/>
  <c r="AJ14"/>
  <c r="AJ13"/>
  <c r="M14" l="1"/>
  <c r="M13"/>
  <c r="E6"/>
  <c r="E7" s="1"/>
  <c r="E8" s="1"/>
  <c r="E9" s="1"/>
  <c r="E10" s="1"/>
  <c r="E11" s="1"/>
  <c r="E12" s="1"/>
  <c r="M18" l="1"/>
  <c r="M17"/>
  <c r="L18"/>
  <c r="L17"/>
  <c r="M19"/>
  <c r="L19"/>
  <c r="M20"/>
  <c r="L20"/>
  <c r="AJ12" l="1"/>
  <c r="AJ11"/>
  <c r="AJ10"/>
  <c r="AJ9"/>
  <c r="AJ8"/>
  <c r="AJ7"/>
  <c r="AJ6"/>
  <c r="AJ5"/>
  <c r="AH16" l="1"/>
  <c r="AG16"/>
  <c r="AF16"/>
  <c r="AE16"/>
  <c r="AH15"/>
  <c r="AG15"/>
  <c r="AF15"/>
  <c r="AE15"/>
  <c r="AH14"/>
  <c r="AG14"/>
  <c r="AF14"/>
  <c r="AE14"/>
  <c r="AH13"/>
  <c r="AG13"/>
  <c r="AF13"/>
  <c r="AE13"/>
  <c r="AH12"/>
  <c r="AG12"/>
  <c r="AF12"/>
  <c r="AE12"/>
  <c r="AH11"/>
  <c r="AG11"/>
  <c r="AF11"/>
  <c r="AE11"/>
  <c r="AH10"/>
  <c r="AG10"/>
  <c r="AF10"/>
  <c r="AE10"/>
  <c r="AH9"/>
  <c r="AG9"/>
  <c r="AF9"/>
  <c r="AE9"/>
  <c r="AH8"/>
  <c r="AG8"/>
  <c r="AF8"/>
  <c r="AE8"/>
  <c r="AH7"/>
  <c r="AG7"/>
  <c r="AF7"/>
  <c r="AE7"/>
  <c r="AH6"/>
  <c r="AG6"/>
  <c r="AF6"/>
  <c r="AE6"/>
  <c r="AL24" i="6" l="1"/>
  <c r="C20" i="7" s="1"/>
  <c r="M6" s="1"/>
  <c r="AL23" i="6"/>
  <c r="C16" i="7" s="1"/>
  <c r="M8" s="1"/>
  <c r="AL22" i="6"/>
  <c r="C12" i="7" s="1"/>
  <c r="M10" s="1"/>
  <c r="AL21" i="6"/>
  <c r="C8" i="7" s="1"/>
  <c r="M12" s="1"/>
  <c r="AL19" i="6"/>
  <c r="C19" i="7" s="1"/>
  <c r="L6" s="1"/>
  <c r="AL18" i="6"/>
  <c r="C15" i="7" s="1"/>
  <c r="L8" s="1"/>
  <c r="AL17" i="6"/>
  <c r="C11" i="7" s="1"/>
  <c r="L10" s="1"/>
  <c r="AL16" i="6"/>
  <c r="C7" i="7" s="1"/>
  <c r="L12" s="1"/>
  <c r="AL14" i="6"/>
  <c r="C18" i="7" s="1"/>
  <c r="M5" s="1"/>
  <c r="L14" s="1"/>
  <c r="AL13" i="6"/>
  <c r="C14" i="7" s="1"/>
  <c r="M7" s="1"/>
  <c r="AL12" i="6"/>
  <c r="C10" i="7" s="1"/>
  <c r="AL11" i="6"/>
  <c r="C6" i="7" s="1"/>
  <c r="M11" s="1"/>
  <c r="AL9" i="6"/>
  <c r="C17" i="7" s="1"/>
  <c r="AL8" i="6"/>
  <c r="C13" i="7" s="1"/>
  <c r="L7" s="1"/>
  <c r="AL7" i="6"/>
  <c r="C9" i="7" s="1"/>
  <c r="AL6" i="6"/>
  <c r="C5" i="7" s="1"/>
  <c r="L11" s="1"/>
  <c r="AI28" i="6"/>
  <c r="AH28"/>
  <c r="AG28"/>
  <c r="AF28"/>
  <c r="AI27"/>
  <c r="AH27"/>
  <c r="AG27"/>
  <c r="AF27"/>
  <c r="AI26"/>
  <c r="AH26"/>
  <c r="AG26"/>
  <c r="AF26"/>
  <c r="AI25"/>
  <c r="AH25"/>
  <c r="AG25"/>
  <c r="AF25"/>
  <c r="AI24"/>
  <c r="AH24"/>
  <c r="AG24"/>
  <c r="AF24"/>
  <c r="AI23"/>
  <c r="AH23"/>
  <c r="AG23"/>
  <c r="AF23"/>
  <c r="AI22"/>
  <c r="AH22"/>
  <c r="AG22"/>
  <c r="AF22"/>
  <c r="AI21"/>
  <c r="AH21"/>
  <c r="AG21"/>
  <c r="AF21"/>
  <c r="AI20"/>
  <c r="AH20"/>
  <c r="AG20"/>
  <c r="AF20"/>
  <c r="AI19"/>
  <c r="AH19"/>
  <c r="AG19"/>
  <c r="AF19"/>
  <c r="AI18"/>
  <c r="AH18"/>
  <c r="AG18"/>
  <c r="AF18"/>
  <c r="AI17"/>
  <c r="AH17"/>
  <c r="AG17"/>
  <c r="AF17"/>
  <c r="AI16"/>
  <c r="AH16"/>
  <c r="AG16"/>
  <c r="AF16"/>
  <c r="AI15"/>
  <c r="AH15"/>
  <c r="AG15"/>
  <c r="AF15"/>
  <c r="AI14"/>
  <c r="AH14"/>
  <c r="AG14"/>
  <c r="AF14"/>
  <c r="AI13"/>
  <c r="AH13"/>
  <c r="AG13"/>
  <c r="AF13"/>
  <c r="AI12"/>
  <c r="AH12"/>
  <c r="AG12"/>
  <c r="AF12"/>
  <c r="AI11"/>
  <c r="AH11"/>
  <c r="AG11"/>
  <c r="AF11"/>
  <c r="AI10"/>
  <c r="AH10"/>
  <c r="AG10"/>
  <c r="AF10"/>
  <c r="AI9"/>
  <c r="AH9"/>
  <c r="AG9"/>
  <c r="AF9"/>
  <c r="AI8"/>
  <c r="AH8"/>
  <c r="AG8"/>
  <c r="AF8"/>
  <c r="AI7"/>
  <c r="AH7"/>
  <c r="AG7"/>
  <c r="AF7"/>
  <c r="AI6"/>
  <c r="AH6"/>
  <c r="AG6"/>
  <c r="AF6"/>
  <c r="M5"/>
  <c r="L9" i="7" l="1"/>
  <c r="L5"/>
  <c r="L13" s="1"/>
  <c r="F6" i="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N25" l="1"/>
  <c r="N24"/>
  <c r="M24"/>
  <c r="N16"/>
  <c r="N27"/>
  <c r="M27"/>
  <c r="N26"/>
  <c r="M26"/>
  <c r="M13"/>
  <c r="N7"/>
  <c r="N8"/>
  <c r="N28"/>
  <c r="M28"/>
  <c r="M25"/>
  <c r="N23"/>
  <c r="M23"/>
  <c r="N22"/>
  <c r="M22"/>
  <c r="N21"/>
  <c r="M21"/>
  <c r="N20"/>
  <c r="M20"/>
  <c r="N19"/>
  <c r="M19"/>
  <c r="N18"/>
  <c r="M18"/>
  <c r="N17"/>
  <c r="M17"/>
  <c r="M16"/>
  <c r="N15"/>
  <c r="M15"/>
  <c r="N14"/>
  <c r="M14"/>
  <c r="N13"/>
  <c r="N12"/>
  <c r="M12"/>
  <c r="N11"/>
  <c r="M11"/>
  <c r="N10"/>
  <c r="M10"/>
  <c r="N9"/>
  <c r="M9"/>
  <c r="M8"/>
  <c r="M7"/>
  <c r="N6"/>
  <c r="M6"/>
  <c r="M9" i="7" l="1"/>
  <c r="AH5"/>
  <c r="AG5"/>
  <c r="AF5"/>
  <c r="AE5"/>
  <c r="E13"/>
  <c r="E14" s="1"/>
  <c r="E15" s="1"/>
  <c r="E16" s="1"/>
  <c r="E17" s="1"/>
  <c r="E18" s="1"/>
  <c r="E19" s="1"/>
  <c r="E20" s="1"/>
  <c r="AI5" i="6"/>
  <c r="AH5"/>
  <c r="AG5"/>
  <c r="AF5"/>
  <c r="N5"/>
  <c r="AO24" s="1"/>
  <c r="AP24" l="1"/>
  <c r="AQ24" s="1"/>
  <c r="AN24"/>
  <c r="AM24"/>
  <c r="AP14"/>
  <c r="AO14"/>
  <c r="AN14"/>
  <c r="AM14"/>
  <c r="AM19"/>
  <c r="AP21"/>
  <c r="AP9"/>
  <c r="AO9"/>
  <c r="AP19"/>
  <c r="AN9"/>
  <c r="AM9"/>
  <c r="AN21"/>
  <c r="AN19"/>
  <c r="AM21"/>
  <c r="AO19"/>
  <c r="AO21"/>
  <c r="AP16"/>
  <c r="AP11"/>
  <c r="AP18"/>
  <c r="AP22"/>
  <c r="AP23"/>
  <c r="AP13"/>
  <c r="AP7"/>
  <c r="AP8"/>
  <c r="AP17"/>
  <c r="AP12"/>
  <c r="AP6"/>
  <c r="AN17"/>
  <c r="AM18"/>
  <c r="AO22"/>
  <c r="AN18"/>
  <c r="AN8"/>
  <c r="AO11"/>
  <c r="AO12"/>
  <c r="AN23"/>
  <c r="AO7"/>
  <c r="AO13"/>
  <c r="AO17"/>
  <c r="AO8"/>
  <c r="AO6"/>
  <c r="AM8"/>
  <c r="AO23"/>
  <c r="AN16"/>
  <c r="AM22"/>
  <c r="AM23"/>
  <c r="AN7"/>
  <c r="AM6"/>
  <c r="AN12"/>
  <c r="AM13"/>
  <c r="AM12"/>
  <c r="AO18"/>
  <c r="AM11"/>
  <c r="AN13"/>
  <c r="AN11"/>
  <c r="AM17"/>
  <c r="AM16"/>
  <c r="AO16"/>
  <c r="AM7"/>
  <c r="AN22"/>
  <c r="AN6"/>
  <c r="AQ14" l="1"/>
  <c r="AQ9"/>
  <c r="AQ19"/>
  <c r="AQ21"/>
  <c r="AQ8"/>
  <c r="AQ11"/>
  <c r="AQ22"/>
  <c r="AQ13"/>
  <c r="AQ6"/>
  <c r="AQ12"/>
  <c r="AQ17"/>
  <c r="AQ23"/>
  <c r="AQ7"/>
  <c r="AQ16"/>
  <c r="AQ18"/>
</calcChain>
</file>

<file path=xl/comments1.xml><?xml version="1.0" encoding="utf-8"?>
<comments xmlns="http://schemas.openxmlformats.org/spreadsheetml/2006/main">
  <authors>
    <author>user</author>
  </authors>
  <commentList>
    <comment ref="AQ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<sst xmlns="http://schemas.openxmlformats.org/spreadsheetml/2006/main" count="520" uniqueCount="128">
  <si>
    <t>Campo</t>
  </si>
  <si>
    <t>P</t>
  </si>
  <si>
    <t>Gir.</t>
  </si>
  <si>
    <t>Gara</t>
  </si>
  <si>
    <t>Turno</t>
  </si>
  <si>
    <t>Ora</t>
  </si>
  <si>
    <t>-</t>
  </si>
  <si>
    <t>(</t>
  </si>
  <si>
    <t>;</t>
  </si>
  <si>
    <t>)</t>
  </si>
  <si>
    <t>CS1</t>
  </si>
  <si>
    <t>CS2</t>
  </si>
  <si>
    <t>Pf</t>
  </si>
  <si>
    <t>Ps</t>
  </si>
  <si>
    <t>Qp</t>
  </si>
  <si>
    <t>V</t>
  </si>
  <si>
    <t>V1</t>
  </si>
  <si>
    <t>V2</t>
  </si>
  <si>
    <t>PTA</t>
  </si>
  <si>
    <t>PTB</t>
  </si>
  <si>
    <t>CLASSIFICHE GIRONI</t>
  </si>
  <si>
    <t>Incontro</t>
  </si>
  <si>
    <t>Risultato</t>
  </si>
  <si>
    <t>S3</t>
  </si>
  <si>
    <t>SQUADRE PARTECIPANTI</t>
  </si>
  <si>
    <t>CALENDARIO GARE</t>
  </si>
  <si>
    <t xml:space="preserve">P R I M A   F A S E </t>
  </si>
  <si>
    <t>Class.</t>
  </si>
  <si>
    <t xml:space="preserve">S E C O N D A   F A S E </t>
  </si>
  <si>
    <t>CLASSIFICHE FINALI</t>
  </si>
  <si>
    <t>G1</t>
  </si>
  <si>
    <t>G2</t>
  </si>
  <si>
    <t>G3</t>
  </si>
  <si>
    <t>Gir</t>
  </si>
  <si>
    <t>1G1</t>
  </si>
  <si>
    <t>2G1</t>
  </si>
  <si>
    <t>3G1</t>
  </si>
  <si>
    <t>4G1</t>
  </si>
  <si>
    <t>1G2</t>
  </si>
  <si>
    <t>2G2</t>
  </si>
  <si>
    <t>3G2</t>
  </si>
  <si>
    <t>4G2</t>
  </si>
  <si>
    <t>1G3</t>
  </si>
  <si>
    <t>2G3</t>
  </si>
  <si>
    <t>3G3</t>
  </si>
  <si>
    <t>4G3</t>
  </si>
  <si>
    <t>GIRONE 1</t>
  </si>
  <si>
    <t>GIRONE 2</t>
  </si>
  <si>
    <t>GIRONE 3</t>
  </si>
  <si>
    <t>G4</t>
  </si>
  <si>
    <t>GIRONE 4</t>
  </si>
  <si>
    <t>1G4</t>
  </si>
  <si>
    <t>2G4</t>
  </si>
  <si>
    <t>3G4</t>
  </si>
  <si>
    <t>4G4</t>
  </si>
  <si>
    <t>p29</t>
  </si>
  <si>
    <t>p30</t>
  </si>
  <si>
    <t>v29</t>
  </si>
  <si>
    <t>v30</t>
  </si>
  <si>
    <t>p31</t>
  </si>
  <si>
    <t>p32</t>
  </si>
  <si>
    <t>v31</t>
  </si>
  <si>
    <t>v32</t>
  </si>
  <si>
    <t>1a</t>
  </si>
  <si>
    <t>2a</t>
  </si>
  <si>
    <t>3a</t>
  </si>
  <si>
    <t>4a</t>
  </si>
  <si>
    <t>5a</t>
  </si>
  <si>
    <t>6a</t>
  </si>
  <si>
    <t>7a</t>
  </si>
  <si>
    <t>8a</t>
  </si>
  <si>
    <t>Sf 1/4-1</t>
  </si>
  <si>
    <t>Sf  5/8 2</t>
  </si>
  <si>
    <t>F 7/8</t>
  </si>
  <si>
    <t>F 5/6</t>
  </si>
  <si>
    <t>F 3/4</t>
  </si>
  <si>
    <t>F 1/2</t>
  </si>
  <si>
    <t>:</t>
  </si>
  <si>
    <t>Sf 13/16 1</t>
  </si>
  <si>
    <t>Sf 13/16 2</t>
  </si>
  <si>
    <t>Sf 9/12 1</t>
  </si>
  <si>
    <t>Sf 9/12 2</t>
  </si>
  <si>
    <t>p25</t>
  </si>
  <si>
    <t>p26</t>
  </si>
  <si>
    <t>v25</t>
  </si>
  <si>
    <t>v26</t>
  </si>
  <si>
    <t>p27</t>
  </si>
  <si>
    <t>p28</t>
  </si>
  <si>
    <t>v27</t>
  </si>
  <si>
    <t>v28</t>
  </si>
  <si>
    <t>6</t>
  </si>
  <si>
    <t>1</t>
  </si>
  <si>
    <t>2</t>
  </si>
  <si>
    <t>3</t>
  </si>
  <si>
    <t>5</t>
  </si>
  <si>
    <t>F 15/16</t>
  </si>
  <si>
    <t>F 13/14</t>
  </si>
  <si>
    <t>F 11/12</t>
  </si>
  <si>
    <t>F 9/10</t>
  </si>
  <si>
    <t>9a</t>
  </si>
  <si>
    <t>10a</t>
  </si>
  <si>
    <t>11a</t>
  </si>
  <si>
    <t>12a</t>
  </si>
  <si>
    <t>13a</t>
  </si>
  <si>
    <t>14a</t>
  </si>
  <si>
    <t>15a</t>
  </si>
  <si>
    <t>16a</t>
  </si>
  <si>
    <t>GRAND PRIX -fase 16 - 5 campi</t>
  </si>
  <si>
    <t>CHIAMATA TURNO 5 PROSEGUE FOGLIO 2</t>
  </si>
  <si>
    <t>S3 WHITE</t>
  </si>
  <si>
    <t>15:10</t>
  </si>
  <si>
    <t>15:20</t>
  </si>
  <si>
    <t>S. Pallavolo 1</t>
  </si>
  <si>
    <t>S. Pallavolo 2</t>
  </si>
  <si>
    <t>Rainbow 1</t>
  </si>
  <si>
    <t>Rainbow 2</t>
  </si>
  <si>
    <t>Podenzana 1</t>
  </si>
  <si>
    <t>Podenzana 2</t>
  </si>
  <si>
    <t>Futura Femm.</t>
  </si>
  <si>
    <t>Futura Maschile</t>
  </si>
  <si>
    <t>Canaletto</t>
  </si>
  <si>
    <t>S. Bernardo 1</t>
  </si>
  <si>
    <t>S. Bernardo 2</t>
  </si>
  <si>
    <t>Colombiera</t>
  </si>
  <si>
    <t>S. Brugnato 1</t>
  </si>
  <si>
    <t>S. Brugnato 2</t>
  </si>
  <si>
    <t>Lunigiana</t>
  </si>
  <si>
    <t>Olimpia</t>
  </si>
</sst>
</file>

<file path=xl/styles.xml><?xml version="1.0" encoding="utf-8"?>
<styleSheet xmlns="http://schemas.openxmlformats.org/spreadsheetml/2006/main">
  <numFmts count="1">
    <numFmt numFmtId="164" formatCode="h:mm;@"/>
  </numFmts>
  <fonts count="19">
    <font>
      <sz val="11"/>
      <color rgb="FF000000"/>
      <name val="Calibri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indexed="8"/>
      <name val="Calibri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99FF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9">
    <xf numFmtId="49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/>
    <xf numFmtId="0" fontId="4" fillId="0" borderId="0" xfId="0" applyNumberFormat="1" applyFont="1" applyFill="1" applyBorder="1"/>
    <xf numFmtId="12" fontId="1" fillId="3" borderId="0" xfId="0" applyNumberFormat="1" applyFont="1" applyFill="1" applyBorder="1" applyProtection="1"/>
    <xf numFmtId="12" fontId="1" fillId="0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49" fontId="0" fillId="5" borderId="0" xfId="0" applyNumberFormat="1" applyFill="1"/>
    <xf numFmtId="0" fontId="0" fillId="3" borderId="0" xfId="0" applyNumberFormat="1" applyFill="1" applyBorder="1"/>
    <xf numFmtId="0" fontId="7" fillId="3" borderId="0" xfId="0" applyNumberFormat="1" applyFont="1" applyFill="1" applyBorder="1"/>
    <xf numFmtId="0" fontId="13" fillId="0" borderId="0" xfId="0" applyNumberFormat="1" applyFont="1"/>
    <xf numFmtId="0" fontId="8" fillId="0" borderId="0" xfId="0" applyNumberFormat="1" applyFont="1" applyFill="1" applyBorder="1"/>
    <xf numFmtId="0" fontId="6" fillId="3" borderId="0" xfId="0" applyNumberFormat="1" applyFont="1" applyFill="1" applyBorder="1" applyAlignment="1" applyProtection="1">
      <alignment horizontal="left"/>
    </xf>
    <xf numFmtId="49" fontId="0" fillId="3" borderId="0" xfId="0" applyNumberFormat="1" applyFill="1" applyBorder="1"/>
    <xf numFmtId="0" fontId="15" fillId="0" borderId="0" xfId="0" applyNumberFormat="1" applyFont="1" applyAlignment="1">
      <alignment horizontal="left"/>
    </xf>
    <xf numFmtId="0" fontId="4" fillId="2" borderId="13" xfId="0" applyNumberFormat="1" applyFont="1" applyFill="1" applyBorder="1" applyAlignment="1">
      <alignment horizontal="center"/>
    </xf>
    <xf numFmtId="0" fontId="8" fillId="4" borderId="13" xfId="0" applyNumberFormat="1" applyFont="1" applyFill="1" applyBorder="1" applyAlignment="1">
      <alignment horizontal="center"/>
    </xf>
    <xf numFmtId="0" fontId="1" fillId="0" borderId="0" xfId="0" applyNumberFormat="1" applyFont="1"/>
    <xf numFmtId="0" fontId="0" fillId="3" borderId="0" xfId="0" applyNumberFormat="1" applyFill="1" applyBorder="1" applyAlignment="1">
      <alignment horizontal="center"/>
    </xf>
    <xf numFmtId="0" fontId="1" fillId="3" borderId="0" xfId="0" quotePrefix="1" applyNumberFormat="1" applyFont="1" applyFill="1" applyBorder="1" applyAlignment="1">
      <alignment horizontal="center"/>
    </xf>
    <xf numFmtId="16" fontId="1" fillId="3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Protection="1"/>
    <xf numFmtId="0" fontId="8" fillId="0" borderId="0" xfId="0" applyNumberFormat="1" applyFont="1" applyFill="1" applyBorder="1" applyProtection="1"/>
    <xf numFmtId="49" fontId="0" fillId="0" borderId="0" xfId="0" applyNumberFormat="1" applyProtection="1"/>
    <xf numFmtId="0" fontId="0" fillId="0" borderId="0" xfId="0" applyNumberFormat="1" applyBorder="1" applyAlignment="1" applyProtection="1">
      <alignment horizontal="center"/>
    </xf>
    <xf numFmtId="0" fontId="9" fillId="3" borderId="0" xfId="0" applyNumberFormat="1" applyFont="1" applyFill="1" applyBorder="1" applyProtection="1"/>
    <xf numFmtId="0" fontId="7" fillId="3" borderId="0" xfId="0" applyNumberFormat="1" applyFont="1" applyFill="1" applyBorder="1" applyProtection="1"/>
    <xf numFmtId="0" fontId="15" fillId="0" borderId="0" xfId="0" applyNumberFormat="1" applyFont="1" applyAlignment="1" applyProtection="1">
      <alignment horizontal="left"/>
    </xf>
    <xf numFmtId="164" fontId="0" fillId="0" borderId="0" xfId="0" applyNumberFormat="1" applyAlignment="1" applyProtection="1">
      <alignment horizontal="right"/>
    </xf>
    <xf numFmtId="0" fontId="0" fillId="0" borderId="0" xfId="0" applyNumberFormat="1" applyAlignment="1" applyProtection="1">
      <alignment horizontal="center"/>
    </xf>
    <xf numFmtId="0" fontId="0" fillId="0" borderId="0" xfId="0" applyNumberFormat="1" applyProtection="1"/>
    <xf numFmtId="0" fontId="13" fillId="0" borderId="0" xfId="0" applyNumberFormat="1" applyFont="1" applyProtection="1"/>
    <xf numFmtId="0" fontId="2" fillId="0" borderId="0" xfId="0" applyNumberFormat="1" applyFont="1" applyProtection="1"/>
    <xf numFmtId="0" fontId="6" fillId="0" borderId="0" xfId="0" applyNumberFormat="1" applyFont="1" applyProtection="1"/>
    <xf numFmtId="49" fontId="0" fillId="3" borderId="0" xfId="0" applyNumberFormat="1" applyFill="1" applyProtection="1"/>
    <xf numFmtId="0" fontId="12" fillId="3" borderId="0" xfId="0" applyNumberFormat="1" applyFont="1" applyFill="1" applyBorder="1" applyProtection="1"/>
    <xf numFmtId="0" fontId="1" fillId="3" borderId="0" xfId="0" applyNumberFormat="1" applyFont="1" applyFill="1" applyBorder="1" applyProtection="1"/>
    <xf numFmtId="0" fontId="5" fillId="7" borderId="19" xfId="0" applyNumberFormat="1" applyFont="1" applyFill="1" applyBorder="1" applyAlignment="1" applyProtection="1">
      <alignment horizontal="center"/>
    </xf>
    <xf numFmtId="0" fontId="2" fillId="7" borderId="19" xfId="0" applyNumberFormat="1" applyFont="1" applyFill="1" applyBorder="1" applyAlignment="1" applyProtection="1">
      <alignment horizontal="center"/>
    </xf>
    <xf numFmtId="2" fontId="5" fillId="7" borderId="17" xfId="0" applyNumberFormat="1" applyFont="1" applyFill="1" applyBorder="1" applyAlignment="1" applyProtection="1">
      <alignment horizontal="center"/>
    </xf>
    <xf numFmtId="0" fontId="2" fillId="7" borderId="19" xfId="0" applyNumberFormat="1" applyFont="1" applyFill="1" applyBorder="1" applyAlignment="1" applyProtection="1">
      <alignment horizontal="right"/>
    </xf>
    <xf numFmtId="0" fontId="0" fillId="3" borderId="0" xfId="0" applyNumberFormat="1" applyFill="1" applyBorder="1" applyProtection="1"/>
    <xf numFmtId="0" fontId="0" fillId="0" borderId="0" xfId="0" applyNumberFormat="1" applyBorder="1" applyProtection="1"/>
    <xf numFmtId="0" fontId="1" fillId="0" borderId="0" xfId="0" applyNumberFormat="1" applyFont="1" applyFill="1" applyBorder="1" applyProtection="1"/>
    <xf numFmtId="49" fontId="0" fillId="3" borderId="0" xfId="0" applyNumberFormat="1" applyFill="1" applyBorder="1" applyProtection="1"/>
    <xf numFmtId="0" fontId="0" fillId="0" borderId="0" xfId="0" applyNumberFormat="1" applyFill="1" applyBorder="1" applyProtection="1"/>
    <xf numFmtId="0" fontId="4" fillId="2" borderId="13" xfId="0" applyNumberFormat="1" applyFont="1" applyFill="1" applyBorder="1" applyAlignment="1" applyProtection="1">
      <alignment horizontal="center"/>
    </xf>
    <xf numFmtId="1" fontId="8" fillId="4" borderId="13" xfId="0" applyNumberFormat="1" applyFont="1" applyFill="1" applyBorder="1" applyAlignment="1" applyProtection="1">
      <alignment horizontal="center"/>
    </xf>
    <xf numFmtId="0" fontId="5" fillId="7" borderId="13" xfId="0" applyNumberFormat="1" applyFont="1" applyFill="1" applyBorder="1" applyProtection="1"/>
    <xf numFmtId="0" fontId="0" fillId="0" borderId="0" xfId="0" applyNumberFormat="1" applyAlignment="1" applyProtection="1"/>
    <xf numFmtId="0" fontId="1" fillId="6" borderId="10" xfId="0" applyNumberFormat="1" applyFont="1" applyFill="1" applyBorder="1" applyAlignment="1" applyProtection="1">
      <alignment horizontal="center"/>
    </xf>
    <xf numFmtId="0" fontId="1" fillId="6" borderId="11" xfId="0" applyNumberFormat="1" applyFont="1" applyFill="1" applyBorder="1" applyAlignment="1" applyProtection="1">
      <alignment horizontal="center"/>
    </xf>
    <xf numFmtId="0" fontId="1" fillId="6" borderId="12" xfId="0" applyNumberFormat="1" applyFont="1" applyFill="1" applyBorder="1" applyAlignment="1" applyProtection="1">
      <alignment horizontal="center"/>
    </xf>
    <xf numFmtId="49" fontId="0" fillId="0" borderId="0" xfId="0" applyNumberFormat="1" applyFill="1" applyProtection="1"/>
    <xf numFmtId="0" fontId="0" fillId="0" borderId="0" xfId="0" applyNumberFormat="1" applyFill="1" applyProtection="1"/>
    <xf numFmtId="49" fontId="0" fillId="0" borderId="0" xfId="0" applyNumberFormat="1" applyFill="1"/>
    <xf numFmtId="1" fontId="5" fillId="7" borderId="16" xfId="0" applyNumberFormat="1" applyFont="1" applyFill="1" applyBorder="1" applyAlignment="1" applyProtection="1">
      <alignment horizontal="center"/>
    </xf>
    <xf numFmtId="0" fontId="0" fillId="6" borderId="12" xfId="0" applyNumberFormat="1" applyFill="1" applyBorder="1" applyAlignment="1">
      <alignment horizontal="center"/>
    </xf>
    <xf numFmtId="0" fontId="2" fillId="6" borderId="25" xfId="0" applyNumberFormat="1" applyFont="1" applyFill="1" applyBorder="1" applyProtection="1"/>
    <xf numFmtId="12" fontId="1" fillId="6" borderId="26" xfId="0" applyNumberFormat="1" applyFont="1" applyFill="1" applyBorder="1" applyProtection="1"/>
    <xf numFmtId="0" fontId="1" fillId="6" borderId="26" xfId="0" applyNumberFormat="1" applyFont="1" applyFill="1" applyBorder="1" applyAlignment="1" applyProtection="1">
      <alignment horizontal="left"/>
    </xf>
    <xf numFmtId="0" fontId="0" fillId="6" borderId="27" xfId="0" applyNumberFormat="1" applyFill="1" applyBorder="1"/>
    <xf numFmtId="12" fontId="1" fillId="6" borderId="25" xfId="0" applyNumberFormat="1" applyFont="1" applyFill="1" applyBorder="1" applyProtection="1"/>
    <xf numFmtId="12" fontId="1" fillId="6" borderId="27" xfId="0" applyNumberFormat="1" applyFont="1" applyFill="1" applyBorder="1" applyProtection="1"/>
    <xf numFmtId="0" fontId="1" fillId="6" borderId="25" xfId="0" applyNumberFormat="1" applyFont="1" applyFill="1" applyBorder="1" applyAlignment="1" applyProtection="1">
      <alignment horizontal="left"/>
    </xf>
    <xf numFmtId="0" fontId="1" fillId="6" borderId="27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Protection="1"/>
    <xf numFmtId="0" fontId="5" fillId="8" borderId="5" xfId="0" applyNumberFormat="1" applyFont="1" applyFill="1" applyBorder="1" applyAlignment="1" applyProtection="1">
      <alignment horizontal="center"/>
    </xf>
    <xf numFmtId="0" fontId="5" fillId="8" borderId="6" xfId="0" applyNumberFormat="1" applyFont="1" applyFill="1" applyBorder="1" applyProtection="1"/>
    <xf numFmtId="0" fontId="5" fillId="8" borderId="6" xfId="0" applyNumberFormat="1" applyFont="1" applyFill="1" applyBorder="1" applyAlignment="1" applyProtection="1">
      <alignment horizontal="left"/>
    </xf>
    <xf numFmtId="0" fontId="5" fillId="8" borderId="9" xfId="0" applyNumberFormat="1" applyFont="1" applyFill="1" applyBorder="1" applyAlignment="1" applyProtection="1">
      <alignment horizontal="left"/>
    </xf>
    <xf numFmtId="0" fontId="17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164" fontId="1" fillId="0" borderId="1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Protection="1"/>
    <xf numFmtId="0" fontId="5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>
      <alignment horizontal="center"/>
    </xf>
    <xf numFmtId="0" fontId="13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/>
    <xf numFmtId="0" fontId="1" fillId="0" borderId="1" xfId="0" applyNumberFormat="1" applyFont="1" applyFill="1" applyBorder="1" applyProtection="1"/>
    <xf numFmtId="0" fontId="1" fillId="0" borderId="1" xfId="0" quotePrefix="1" applyNumberFormat="1" applyFont="1" applyFill="1" applyBorder="1" applyAlignment="1">
      <alignment horizontal="center"/>
    </xf>
    <xf numFmtId="0" fontId="1" fillId="0" borderId="32" xfId="0" applyNumberFormat="1" applyFont="1" applyFill="1" applyBorder="1" applyProtection="1">
      <protection locked="0"/>
    </xf>
    <xf numFmtId="0" fontId="2" fillId="0" borderId="33" xfId="0" applyNumberFormat="1" applyFont="1" applyFill="1" applyBorder="1" applyProtection="1"/>
    <xf numFmtId="0" fontId="2" fillId="0" borderId="33" xfId="0" applyNumberFormat="1" applyFont="1" applyFill="1" applyBorder="1" applyProtection="1">
      <protection locked="0"/>
    </xf>
    <xf numFmtId="0" fontId="1" fillId="0" borderId="10" xfId="0" applyNumberFormat="1" applyFont="1" applyFill="1" applyBorder="1" applyAlignment="1" applyProtection="1">
      <alignment horizontal="center"/>
    </xf>
    <xf numFmtId="12" fontId="1" fillId="0" borderId="3" xfId="0" applyNumberFormat="1" applyFont="1" applyFill="1" applyBorder="1" applyProtection="1">
      <protection locked="0"/>
    </xf>
    <xf numFmtId="0" fontId="1" fillId="0" borderId="4" xfId="0" applyNumberFormat="1" applyFont="1" applyFill="1" applyBorder="1" applyProtection="1"/>
    <xf numFmtId="0" fontId="1" fillId="0" borderId="11" xfId="0" applyNumberFormat="1" applyFont="1" applyFill="1" applyBorder="1" applyAlignment="1" applyProtection="1">
      <alignment horizontal="center"/>
    </xf>
    <xf numFmtId="12" fontId="1" fillId="0" borderId="5" xfId="0" applyNumberFormat="1" applyFont="1" applyFill="1" applyBorder="1" applyProtection="1">
      <protection locked="0"/>
    </xf>
    <xf numFmtId="0" fontId="1" fillId="0" borderId="6" xfId="0" applyNumberFormat="1" applyFont="1" applyFill="1" applyBorder="1" applyProtection="1"/>
    <xf numFmtId="0" fontId="1" fillId="0" borderId="12" xfId="0" applyNumberFormat="1" applyFont="1" applyFill="1" applyBorder="1" applyAlignment="1" applyProtection="1">
      <alignment horizontal="center"/>
    </xf>
    <xf numFmtId="12" fontId="1" fillId="0" borderId="7" xfId="0" applyNumberFormat="1" applyFont="1" applyFill="1" applyBorder="1" applyProtection="1">
      <protection locked="0"/>
    </xf>
    <xf numFmtId="0" fontId="1" fillId="0" borderId="9" xfId="0" applyNumberFormat="1" applyFont="1" applyFill="1" applyBorder="1" applyProtection="1"/>
    <xf numFmtId="0" fontId="1" fillId="0" borderId="5" xfId="0" applyNumberFormat="1" applyFont="1" applyFill="1" applyBorder="1" applyAlignment="1" applyProtection="1">
      <alignment horizontal="left"/>
      <protection locked="0"/>
    </xf>
    <xf numFmtId="0" fontId="1" fillId="0" borderId="7" xfId="0" applyNumberFormat="1" applyFont="1" applyFill="1" applyBorder="1" applyAlignment="1" applyProtection="1">
      <alignment horizontal="left"/>
      <protection locked="0"/>
    </xf>
    <xf numFmtId="0" fontId="1" fillId="0" borderId="3" xfId="0" applyNumberFormat="1" applyFont="1" applyFill="1" applyBorder="1" applyAlignment="1" applyProtection="1">
      <alignment horizontal="left"/>
      <protection locked="0"/>
    </xf>
    <xf numFmtId="0" fontId="0" fillId="0" borderId="12" xfId="0" applyNumberFormat="1" applyFill="1" applyBorder="1" applyAlignment="1" applyProtection="1">
      <alignment horizontal="center"/>
    </xf>
    <xf numFmtId="0" fontId="14" fillId="10" borderId="13" xfId="0" applyNumberFormat="1" applyFont="1" applyFill="1" applyBorder="1" applyAlignment="1" applyProtection="1">
      <alignment horizontal="center"/>
    </xf>
    <xf numFmtId="0" fontId="14" fillId="10" borderId="13" xfId="0" applyNumberFormat="1" applyFont="1" applyFill="1" applyBorder="1" applyProtection="1"/>
    <xf numFmtId="1" fontId="18" fillId="0" borderId="18" xfId="0" applyNumberFormat="1" applyFont="1" applyFill="1" applyBorder="1" applyAlignment="1" applyProtection="1">
      <alignment horizontal="center"/>
      <protection locked="0"/>
    </xf>
    <xf numFmtId="0" fontId="2" fillId="0" borderId="2" xfId="0" applyNumberFormat="1" applyFont="1" applyFill="1" applyBorder="1" applyProtection="1"/>
    <xf numFmtId="0" fontId="5" fillId="0" borderId="2" xfId="0" applyNumberFormat="1" applyFont="1" applyFill="1" applyBorder="1" applyAlignment="1" applyProtection="1">
      <alignment horizontal="center"/>
    </xf>
    <xf numFmtId="0" fontId="2" fillId="0" borderId="2" xfId="0" applyNumberFormat="1" applyFont="1" applyFill="1" applyBorder="1" applyAlignment="1" applyProtection="1">
      <alignment horizontal="right"/>
    </xf>
    <xf numFmtId="2" fontId="5" fillId="0" borderId="22" xfId="0" applyNumberFormat="1" applyFont="1" applyFill="1" applyBorder="1" applyAlignment="1" applyProtection="1">
      <alignment horizontal="center"/>
    </xf>
    <xf numFmtId="1" fontId="18" fillId="0" borderId="5" xfId="0" applyNumberFormat="1" applyFont="1" applyFill="1" applyBorder="1" applyAlignment="1" applyProtection="1">
      <alignment horizontal="center"/>
      <protection locked="0"/>
    </xf>
    <xf numFmtId="0" fontId="2" fillId="0" borderId="1" xfId="0" applyNumberFormat="1" applyFont="1" applyFill="1" applyBorder="1" applyAlignment="1" applyProtection="1">
      <alignment horizontal="right"/>
    </xf>
    <xf numFmtId="2" fontId="5" fillId="0" borderId="6" xfId="0" applyNumberFormat="1" applyFont="1" applyFill="1" applyBorder="1" applyAlignment="1" applyProtection="1">
      <alignment horizontal="center"/>
    </xf>
    <xf numFmtId="1" fontId="18" fillId="0" borderId="30" xfId="0" applyNumberFormat="1" applyFont="1" applyFill="1" applyBorder="1" applyAlignment="1" applyProtection="1">
      <alignment horizontal="center"/>
      <protection locked="0"/>
    </xf>
    <xf numFmtId="0" fontId="2" fillId="0" borderId="31" xfId="0" applyNumberFormat="1" applyFont="1" applyFill="1" applyBorder="1" applyProtection="1"/>
    <xf numFmtId="0" fontId="5" fillId="0" borderId="31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right"/>
    </xf>
    <xf numFmtId="2" fontId="5" fillId="0" borderId="23" xfId="0" applyNumberFormat="1" applyFont="1" applyFill="1" applyBorder="1" applyAlignment="1" applyProtection="1">
      <alignment horizontal="center"/>
    </xf>
    <xf numFmtId="1" fontId="18" fillId="0" borderId="7" xfId="0" applyNumberFormat="1" applyFont="1" applyFill="1" applyBorder="1" applyAlignment="1" applyProtection="1">
      <alignment horizontal="center"/>
      <protection locked="0"/>
    </xf>
    <xf numFmtId="0" fontId="2" fillId="0" borderId="8" xfId="0" applyNumberFormat="1" applyFont="1" applyFill="1" applyBorder="1" applyProtection="1"/>
    <xf numFmtId="0" fontId="5" fillId="0" borderId="8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right"/>
    </xf>
    <xf numFmtId="2" fontId="5" fillId="0" borderId="9" xfId="0" applyNumberFormat="1" applyFont="1" applyFill="1" applyBorder="1" applyAlignment="1" applyProtection="1">
      <alignment horizontal="center"/>
    </xf>
    <xf numFmtId="0" fontId="5" fillId="0" borderId="3" xfId="0" applyNumberFormat="1" applyFont="1" applyFill="1" applyBorder="1" applyAlignment="1" applyProtection="1">
      <alignment horizontal="center"/>
    </xf>
    <xf numFmtId="0" fontId="17" fillId="0" borderId="34" xfId="0" applyNumberFormat="1" applyFont="1" applyFill="1" applyBorder="1" applyAlignment="1" applyProtection="1">
      <alignment horizontal="center"/>
    </xf>
    <xf numFmtId="0" fontId="0" fillId="0" borderId="34" xfId="0" applyNumberFormat="1" applyFill="1" applyBorder="1" applyAlignment="1" applyProtection="1">
      <alignment horizontal="center"/>
    </xf>
    <xf numFmtId="164" fontId="1" fillId="0" borderId="34" xfId="0" applyNumberFormat="1" applyFont="1" applyFill="1" applyBorder="1" applyAlignment="1" applyProtection="1">
      <alignment horizontal="right"/>
    </xf>
    <xf numFmtId="0" fontId="2" fillId="0" borderId="34" xfId="0" applyNumberFormat="1" applyFont="1" applyFill="1" applyBorder="1" applyAlignment="1" applyProtection="1">
      <alignment horizontal="center"/>
    </xf>
    <xf numFmtId="0" fontId="2" fillId="0" borderId="34" xfId="0" applyNumberFormat="1" applyFont="1" applyFill="1" applyBorder="1" applyProtection="1"/>
    <xf numFmtId="0" fontId="1" fillId="0" borderId="35" xfId="0" applyNumberFormat="1" applyFont="1" applyFill="1" applyBorder="1" applyProtection="1">
      <protection locked="0"/>
    </xf>
    <xf numFmtId="0" fontId="2" fillId="0" borderId="36" xfId="0" applyNumberFormat="1" applyFont="1" applyFill="1" applyBorder="1" applyProtection="1"/>
    <xf numFmtId="0" fontId="2" fillId="0" borderId="36" xfId="0" applyNumberFormat="1" applyFont="1" applyFill="1" applyBorder="1" applyProtection="1">
      <protection locked="0"/>
    </xf>
    <xf numFmtId="0" fontId="2" fillId="0" borderId="37" xfId="0" applyNumberFormat="1" applyFont="1" applyFill="1" applyBorder="1" applyProtection="1"/>
    <xf numFmtId="0" fontId="5" fillId="0" borderId="5" xfId="0" applyNumberFormat="1" applyFont="1" applyFill="1" applyBorder="1" applyAlignment="1" applyProtection="1">
      <alignment horizontal="center"/>
    </xf>
    <xf numFmtId="0" fontId="2" fillId="0" borderId="38" xfId="0" applyNumberFormat="1" applyFont="1" applyFill="1" applyBorder="1" applyProtection="1"/>
    <xf numFmtId="0" fontId="5" fillId="0" borderId="7" xfId="0" applyNumberFormat="1" applyFont="1" applyFill="1" applyBorder="1" applyAlignment="1" applyProtection="1">
      <alignment horizontal="center"/>
    </xf>
    <xf numFmtId="0" fontId="17" fillId="0" borderId="8" xfId="0" applyNumberFormat="1" applyFont="1" applyFill="1" applyBorder="1" applyAlignment="1" applyProtection="1">
      <alignment horizontal="center"/>
    </xf>
    <xf numFmtId="0" fontId="0" fillId="0" borderId="8" xfId="0" applyNumberForma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/>
    </xf>
    <xf numFmtId="0" fontId="1" fillId="0" borderId="39" xfId="0" applyNumberFormat="1" applyFont="1" applyFill="1" applyBorder="1" applyProtection="1">
      <protection locked="0"/>
    </xf>
    <xf numFmtId="0" fontId="2" fillId="0" borderId="40" xfId="0" applyNumberFormat="1" applyFont="1" applyFill="1" applyBorder="1" applyProtection="1"/>
    <xf numFmtId="0" fontId="2" fillId="0" borderId="40" xfId="0" applyNumberFormat="1" applyFont="1" applyFill="1" applyBorder="1" applyProtection="1">
      <protection locked="0"/>
    </xf>
    <xf numFmtId="0" fontId="2" fillId="0" borderId="41" xfId="0" applyNumberFormat="1" applyFont="1" applyFill="1" applyBorder="1" applyProtection="1"/>
    <xf numFmtId="0" fontId="14" fillId="9" borderId="13" xfId="0" applyNumberFormat="1" applyFont="1" applyFill="1" applyBorder="1" applyAlignment="1">
      <alignment horizontal="center"/>
    </xf>
    <xf numFmtId="0" fontId="0" fillId="0" borderId="35" xfId="0" applyNumberFormat="1" applyFill="1" applyBorder="1" applyProtection="1">
      <protection locked="0"/>
    </xf>
    <xf numFmtId="0" fontId="1" fillId="0" borderId="36" xfId="0" quotePrefix="1" applyNumberFormat="1" applyFont="1" applyFill="1" applyBorder="1"/>
    <xf numFmtId="0" fontId="0" fillId="0" borderId="36" xfId="0" applyNumberFormat="1" applyFill="1" applyBorder="1" applyProtection="1">
      <protection locked="0"/>
    </xf>
    <xf numFmtId="0" fontId="1" fillId="0" borderId="36" xfId="0" applyNumberFormat="1" applyFont="1" applyFill="1" applyBorder="1"/>
    <xf numFmtId="0" fontId="1" fillId="0" borderId="36" xfId="0" applyNumberFormat="1" applyFont="1" applyFill="1" applyBorder="1" applyProtection="1">
      <protection locked="0"/>
    </xf>
    <xf numFmtId="0" fontId="0" fillId="0" borderId="32" xfId="0" applyNumberFormat="1" applyFill="1" applyBorder="1" applyProtection="1">
      <protection locked="0"/>
    </xf>
    <xf numFmtId="0" fontId="1" fillId="0" borderId="33" xfId="0" quotePrefix="1" applyNumberFormat="1" applyFont="1" applyFill="1" applyBorder="1"/>
    <xf numFmtId="0" fontId="0" fillId="0" borderId="33" xfId="0" applyNumberFormat="1" applyFill="1" applyBorder="1" applyProtection="1">
      <protection locked="0"/>
    </xf>
    <xf numFmtId="0" fontId="1" fillId="0" borderId="33" xfId="0" applyNumberFormat="1" applyFont="1" applyFill="1" applyBorder="1"/>
    <xf numFmtId="0" fontId="1" fillId="0" borderId="33" xfId="0" applyNumberFormat="1" applyFont="1" applyFill="1" applyBorder="1" applyProtection="1">
      <protection locked="0"/>
    </xf>
    <xf numFmtId="0" fontId="16" fillId="0" borderId="3" xfId="0" applyNumberFormat="1" applyFont="1" applyFill="1" applyBorder="1" applyAlignment="1">
      <alignment horizontal="center"/>
    </xf>
    <xf numFmtId="0" fontId="0" fillId="0" borderId="34" xfId="0" applyNumberFormat="1" applyFill="1" applyBorder="1" applyAlignment="1">
      <alignment horizontal="center"/>
    </xf>
    <xf numFmtId="0" fontId="13" fillId="0" borderId="34" xfId="0" applyNumberFormat="1" applyFont="1" applyFill="1" applyBorder="1" applyAlignment="1">
      <alignment horizontal="center"/>
    </xf>
    <xf numFmtId="0" fontId="1" fillId="0" borderId="34" xfId="0" applyNumberFormat="1" applyFont="1" applyFill="1" applyBorder="1"/>
    <xf numFmtId="0" fontId="1" fillId="0" borderId="34" xfId="0" applyNumberFormat="1" applyFont="1" applyFill="1" applyBorder="1" applyProtection="1"/>
    <xf numFmtId="0" fontId="1" fillId="0" borderId="37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" fillId="0" borderId="38" xfId="0" applyNumberFormat="1" applyFont="1" applyFill="1" applyBorder="1"/>
    <xf numFmtId="0" fontId="16" fillId="0" borderId="7" xfId="0" applyNumberFormat="1" applyFont="1" applyFill="1" applyBorder="1" applyAlignment="1">
      <alignment horizontal="center"/>
    </xf>
    <xf numFmtId="0" fontId="0" fillId="0" borderId="8" xfId="0" applyNumberFormat="1" applyFill="1" applyBorder="1" applyAlignment="1">
      <alignment horizontal="center"/>
    </xf>
    <xf numFmtId="0" fontId="1" fillId="0" borderId="8" xfId="0" quotePrefix="1" applyNumberFormat="1" applyFont="1" applyFill="1" applyBorder="1" applyAlignment="1">
      <alignment horizontal="center"/>
    </xf>
    <xf numFmtId="0" fontId="1" fillId="0" borderId="8" xfId="0" applyNumberFormat="1" applyFont="1" applyFill="1" applyBorder="1"/>
    <xf numFmtId="0" fontId="1" fillId="0" borderId="8" xfId="0" applyNumberFormat="1" applyFont="1" applyFill="1" applyBorder="1" applyProtection="1"/>
    <xf numFmtId="0" fontId="0" fillId="0" borderId="39" xfId="0" applyNumberFormat="1" applyFill="1" applyBorder="1" applyProtection="1">
      <protection locked="0"/>
    </xf>
    <xf numFmtId="0" fontId="1" fillId="0" borderId="40" xfId="0" quotePrefix="1" applyNumberFormat="1" applyFont="1" applyFill="1" applyBorder="1"/>
    <xf numFmtId="0" fontId="0" fillId="0" borderId="40" xfId="0" applyNumberFormat="1" applyFill="1" applyBorder="1" applyProtection="1">
      <protection locked="0"/>
    </xf>
    <xf numFmtId="0" fontId="1" fillId="0" borderId="40" xfId="0" applyNumberFormat="1" applyFont="1" applyFill="1" applyBorder="1"/>
    <xf numFmtId="0" fontId="1" fillId="0" borderId="40" xfId="0" applyNumberFormat="1" applyFont="1" applyFill="1" applyBorder="1" applyProtection="1">
      <protection locked="0"/>
    </xf>
    <xf numFmtId="0" fontId="1" fillId="0" borderId="41" xfId="0" applyNumberFormat="1" applyFont="1" applyFill="1" applyBorder="1"/>
    <xf numFmtId="0" fontId="13" fillId="0" borderId="8" xfId="0" applyNumberFormat="1" applyFont="1" applyFill="1" applyBorder="1" applyAlignment="1">
      <alignment horizontal="center"/>
    </xf>
    <xf numFmtId="0" fontId="5" fillId="8" borderId="4" xfId="0" applyNumberFormat="1" applyFont="1" applyFill="1" applyBorder="1" applyProtection="1"/>
    <xf numFmtId="164" fontId="2" fillId="0" borderId="34" xfId="0" applyNumberFormat="1" applyFont="1" applyFill="1" applyBorder="1" applyAlignment="1" applyProtection="1">
      <alignment horizontal="right"/>
    </xf>
    <xf numFmtId="164" fontId="2" fillId="0" borderId="1" xfId="0" applyNumberFormat="1" applyFont="1" applyFill="1" applyBorder="1" applyAlignment="1" applyProtection="1">
      <alignment horizontal="right"/>
    </xf>
    <xf numFmtId="0" fontId="3" fillId="0" borderId="8" xfId="0" applyNumberFormat="1" applyFont="1" applyFill="1" applyBorder="1" applyAlignment="1" applyProtection="1">
      <alignment horizontal="center"/>
    </xf>
    <xf numFmtId="164" fontId="2" fillId="0" borderId="8" xfId="0" applyNumberFormat="1" applyFont="1" applyFill="1" applyBorder="1" applyAlignment="1" applyProtection="1">
      <alignment horizontal="right"/>
    </xf>
    <xf numFmtId="164" fontId="1" fillId="0" borderId="8" xfId="0" applyNumberFormat="1" applyFont="1" applyFill="1" applyBorder="1" applyAlignment="1" applyProtection="1">
      <alignment horizontal="right"/>
    </xf>
    <xf numFmtId="49" fontId="13" fillId="0" borderId="1" xfId="0" applyNumberFormat="1" applyFont="1" applyFill="1" applyBorder="1"/>
    <xf numFmtId="49" fontId="13" fillId="0" borderId="32" xfId="0" applyNumberFormat="1" applyFont="1" applyFill="1" applyBorder="1"/>
    <xf numFmtId="49" fontId="13" fillId="0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20" fontId="1" fillId="0" borderId="1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16" fillId="0" borderId="16" xfId="0" applyNumberFormat="1" applyFont="1" applyFill="1" applyBorder="1" applyAlignment="1">
      <alignment horizontal="center"/>
    </xf>
    <xf numFmtId="49" fontId="13" fillId="0" borderId="19" xfId="0" applyNumberFormat="1" applyFont="1" applyFill="1" applyBorder="1" applyAlignment="1">
      <alignment horizontal="center"/>
    </xf>
    <xf numFmtId="0" fontId="13" fillId="0" borderId="19" xfId="0" applyNumberFormat="1" applyFont="1" applyFill="1" applyBorder="1" applyAlignment="1">
      <alignment horizontal="center"/>
    </xf>
    <xf numFmtId="0" fontId="1" fillId="0" borderId="19" xfId="0" applyNumberFormat="1" applyFont="1" applyFill="1" applyBorder="1"/>
    <xf numFmtId="0" fontId="1" fillId="0" borderId="19" xfId="0" applyNumberFormat="1" applyFont="1" applyFill="1" applyBorder="1" applyProtection="1"/>
    <xf numFmtId="0" fontId="0" fillId="0" borderId="45" xfId="0" applyNumberFormat="1" applyFill="1" applyBorder="1" applyProtection="1">
      <protection locked="0"/>
    </xf>
    <xf numFmtId="0" fontId="1" fillId="0" borderId="14" xfId="0" quotePrefix="1" applyNumberFormat="1" applyFont="1" applyFill="1" applyBorder="1"/>
    <xf numFmtId="0" fontId="0" fillId="0" borderId="14" xfId="0" applyNumberFormat="1" applyFill="1" applyBorder="1" applyProtection="1">
      <protection locked="0"/>
    </xf>
    <xf numFmtId="0" fontId="1" fillId="0" borderId="14" xfId="0" applyNumberFormat="1" applyFont="1" applyFill="1" applyBorder="1"/>
    <xf numFmtId="0" fontId="1" fillId="0" borderId="14" xfId="0" applyNumberFormat="1" applyFont="1" applyFill="1" applyBorder="1" applyProtection="1">
      <protection locked="0"/>
    </xf>
    <xf numFmtId="49" fontId="13" fillId="0" borderId="34" xfId="0" applyNumberFormat="1" applyFont="1" applyFill="1" applyBorder="1" applyAlignment="1">
      <alignment horizontal="center"/>
    </xf>
    <xf numFmtId="49" fontId="13" fillId="0" borderId="8" xfId="0" applyNumberFormat="1" applyFont="1" applyFill="1" applyBorder="1" applyAlignment="1">
      <alignment horizontal="center"/>
    </xf>
    <xf numFmtId="20" fontId="1" fillId="0" borderId="34" xfId="0" applyNumberFormat="1" applyFont="1" applyFill="1" applyBorder="1" applyAlignment="1">
      <alignment horizontal="center"/>
    </xf>
    <xf numFmtId="0" fontId="13" fillId="0" borderId="35" xfId="0" applyNumberFormat="1" applyFont="1" applyFill="1" applyBorder="1" applyProtection="1">
      <protection locked="0"/>
    </xf>
    <xf numFmtId="0" fontId="13" fillId="0" borderId="36" xfId="0" applyNumberFormat="1" applyFont="1" applyFill="1" applyBorder="1" applyProtection="1">
      <protection locked="0"/>
    </xf>
    <xf numFmtId="20" fontId="1" fillId="0" borderId="8" xfId="0" applyNumberFormat="1" applyFont="1" applyFill="1" applyBorder="1" applyAlignment="1">
      <alignment horizontal="center"/>
    </xf>
    <xf numFmtId="49" fontId="13" fillId="0" borderId="8" xfId="0" applyNumberFormat="1" applyFont="1" applyFill="1" applyBorder="1"/>
    <xf numFmtId="49" fontId="13" fillId="0" borderId="39" xfId="0" applyNumberFormat="1" applyFont="1" applyFill="1" applyBorder="1"/>
    <xf numFmtId="49" fontId="13" fillId="0" borderId="34" xfId="0" applyNumberFormat="1" applyFont="1" applyFill="1" applyBorder="1"/>
    <xf numFmtId="49" fontId="13" fillId="0" borderId="35" xfId="0" applyNumberFormat="1" applyFont="1" applyFill="1" applyBorder="1"/>
    <xf numFmtId="0" fontId="1" fillId="0" borderId="20" xfId="0" applyNumberFormat="1" applyFont="1" applyFill="1" applyBorder="1" applyProtection="1"/>
    <xf numFmtId="0" fontId="1" fillId="0" borderId="11" xfId="0" applyNumberFormat="1" applyFont="1" applyFill="1" applyBorder="1" applyProtection="1"/>
    <xf numFmtId="0" fontId="1" fillId="0" borderId="21" xfId="0" applyNumberFormat="1" applyFont="1" applyFill="1" applyBorder="1" applyProtection="1"/>
    <xf numFmtId="0" fontId="1" fillId="0" borderId="12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Protection="1"/>
    <xf numFmtId="0" fontId="1" fillId="0" borderId="0" xfId="0" applyNumberFormat="1" applyFont="1" applyFill="1" applyBorder="1" applyProtection="1">
      <protection locked="0"/>
    </xf>
    <xf numFmtId="0" fontId="2" fillId="0" borderId="0" xfId="0" applyNumberFormat="1" applyFont="1" applyFill="1" applyBorder="1" applyProtection="1">
      <protection locked="0"/>
    </xf>
    <xf numFmtId="0" fontId="18" fillId="3" borderId="0" xfId="0" applyNumberFormat="1" applyFont="1" applyFill="1" applyBorder="1" applyAlignment="1" applyProtection="1">
      <alignment horizontal="left"/>
    </xf>
    <xf numFmtId="0" fontId="18" fillId="0" borderId="0" xfId="0" applyNumberFormat="1" applyFont="1" applyFill="1" applyBorder="1" applyAlignment="1" applyProtection="1">
      <alignment horizontal="left"/>
    </xf>
    <xf numFmtId="0" fontId="14" fillId="11" borderId="16" xfId="0" applyNumberFormat="1" applyFont="1" applyFill="1" applyBorder="1" applyAlignment="1" applyProtection="1">
      <alignment horizontal="center"/>
    </xf>
    <xf numFmtId="0" fontId="14" fillId="11" borderId="17" xfId="0" applyNumberFormat="1" applyFont="1" applyFill="1" applyBorder="1" applyProtection="1"/>
    <xf numFmtId="0" fontId="14" fillId="11" borderId="42" xfId="0" applyNumberFormat="1" applyFont="1" applyFill="1" applyBorder="1" applyAlignment="1" applyProtection="1">
      <alignment horizontal="center"/>
    </xf>
    <xf numFmtId="0" fontId="14" fillId="11" borderId="43" xfId="0" applyNumberFormat="1" applyFont="1" applyFill="1" applyBorder="1" applyAlignment="1" applyProtection="1">
      <alignment horizontal="center"/>
    </xf>
    <xf numFmtId="164" fontId="14" fillId="11" borderId="43" xfId="0" applyNumberFormat="1" applyFont="1" applyFill="1" applyBorder="1" applyAlignment="1" applyProtection="1">
      <alignment horizontal="center"/>
    </xf>
    <xf numFmtId="0" fontId="14" fillId="11" borderId="13" xfId="0" applyNumberFormat="1" applyFont="1" applyFill="1" applyBorder="1" applyProtection="1"/>
    <xf numFmtId="0" fontId="14" fillId="11" borderId="14" xfId="0" applyNumberFormat="1" applyFont="1" applyFill="1" applyBorder="1" applyAlignment="1" applyProtection="1">
      <alignment horizontal="center"/>
    </xf>
    <xf numFmtId="0" fontId="14" fillId="11" borderId="14" xfId="0" applyNumberFormat="1" applyFont="1" applyFill="1" applyBorder="1" applyProtection="1"/>
    <xf numFmtId="0" fontId="14" fillId="11" borderId="15" xfId="0" applyNumberFormat="1" applyFont="1" applyFill="1" applyBorder="1" applyProtection="1"/>
    <xf numFmtId="0" fontId="14" fillId="11" borderId="24" xfId="0" applyNumberFormat="1" applyFont="1" applyFill="1" applyBorder="1" applyAlignment="1">
      <alignment horizontal="center"/>
    </xf>
    <xf numFmtId="0" fontId="14" fillId="11" borderId="16" xfId="0" applyNumberFormat="1" applyFont="1" applyFill="1" applyBorder="1" applyAlignment="1">
      <alignment horizontal="center"/>
    </xf>
    <xf numFmtId="164" fontId="14" fillId="11" borderId="19" xfId="0" applyNumberFormat="1" applyFont="1" applyFill="1" applyBorder="1" applyAlignment="1">
      <alignment horizontal="center"/>
    </xf>
    <xf numFmtId="0" fontId="14" fillId="11" borderId="19" xfId="0" applyNumberFormat="1" applyFont="1" applyFill="1" applyBorder="1" applyAlignment="1">
      <alignment horizontal="center"/>
    </xf>
    <xf numFmtId="0" fontId="14" fillId="11" borderId="43" xfId="0" applyNumberFormat="1" applyFont="1" applyFill="1" applyBorder="1" applyAlignment="1" applyProtection="1">
      <alignment horizontal="center"/>
    </xf>
    <xf numFmtId="49" fontId="14" fillId="11" borderId="43" xfId="0" applyNumberFormat="1" applyFont="1" applyFill="1" applyBorder="1" applyAlignment="1" applyProtection="1">
      <alignment horizontal="center"/>
    </xf>
    <xf numFmtId="17" fontId="14" fillId="11" borderId="43" xfId="0" applyNumberFormat="1" applyFont="1" applyFill="1" applyBorder="1" applyAlignment="1" applyProtection="1">
      <alignment horizontal="center"/>
    </xf>
    <xf numFmtId="49" fontId="14" fillId="11" borderId="44" xfId="0" applyNumberFormat="1" applyFont="1" applyFill="1" applyBorder="1" applyAlignment="1" applyProtection="1">
      <alignment horizontal="center"/>
    </xf>
    <xf numFmtId="0" fontId="4" fillId="0" borderId="28" xfId="0" applyNumberFormat="1" applyFont="1" applyFill="1" applyBorder="1" applyAlignment="1" applyProtection="1">
      <alignment horizontal="center"/>
    </xf>
    <xf numFmtId="49" fontId="0" fillId="0" borderId="29" xfId="0" applyNumberFormat="1" applyFill="1" applyBorder="1" applyAlignment="1">
      <alignment horizontal="center"/>
    </xf>
    <xf numFmtId="0" fontId="4" fillId="2" borderId="13" xfId="0" applyNumberFormat="1" applyFont="1" applyFill="1" applyBorder="1" applyAlignment="1" applyProtection="1">
      <alignment horizontal="center"/>
    </xf>
    <xf numFmtId="49" fontId="0" fillId="0" borderId="14" xfId="0" applyNumberForma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1" fontId="8" fillId="4" borderId="13" xfId="0" applyNumberFormat="1" applyFont="1" applyFill="1" applyBorder="1" applyAlignment="1" applyProtection="1">
      <alignment horizontal="center"/>
    </xf>
    <xf numFmtId="49" fontId="0" fillId="0" borderId="14" xfId="0" applyNumberFormat="1" applyBorder="1" applyAlignment="1"/>
    <xf numFmtId="49" fontId="0" fillId="0" borderId="15" xfId="0" applyNumberFormat="1" applyBorder="1" applyAlignment="1"/>
    <xf numFmtId="0" fontId="4" fillId="0" borderId="28" xfId="0" applyNumberFormat="1" applyFont="1" applyFill="1" applyBorder="1" applyAlignment="1">
      <alignment horizontal="center"/>
    </xf>
    <xf numFmtId="0" fontId="4" fillId="2" borderId="14" xfId="0" applyNumberFormat="1" applyFont="1" applyFill="1" applyBorder="1" applyAlignment="1" applyProtection="1">
      <alignment horizontal="center"/>
    </xf>
    <xf numFmtId="1" fontId="8" fillId="4" borderId="14" xfId="0" applyNumberFormat="1" applyFont="1" applyFill="1" applyBorder="1" applyAlignment="1" applyProtection="1">
      <alignment horizontal="center"/>
    </xf>
    <xf numFmtId="0" fontId="14" fillId="11" borderId="13" xfId="0" applyNumberFormat="1" applyFont="1" applyFill="1" applyBorder="1" applyAlignment="1">
      <alignment horizontal="center"/>
    </xf>
    <xf numFmtId="49" fontId="0" fillId="11" borderId="15" xfId="0" applyNumberFormat="1" applyFill="1" applyBorder="1" applyAlignment="1">
      <alignment horizontal="center"/>
    </xf>
    <xf numFmtId="0" fontId="14" fillId="11" borderId="19" xfId="0" applyNumberFormat="1" applyFont="1" applyFill="1" applyBorder="1" applyAlignment="1">
      <alignment horizontal="center"/>
    </xf>
    <xf numFmtId="49" fontId="14" fillId="11" borderId="19" xfId="0" applyNumberFormat="1" applyFont="1" applyFill="1" applyBorder="1" applyAlignment="1">
      <alignment horizontal="center"/>
    </xf>
    <xf numFmtId="17" fontId="14" fillId="11" borderId="19" xfId="0" applyNumberFormat="1" applyFont="1" applyFill="1" applyBorder="1" applyAlignment="1">
      <alignment horizontal="center"/>
    </xf>
    <xf numFmtId="49" fontId="14" fillId="11" borderId="17" xfId="0" applyNumberFormat="1" applyFont="1" applyFill="1" applyBorder="1" applyAlignment="1">
      <alignment horizontal="center"/>
    </xf>
  </cellXfs>
  <cellStyles count="1">
    <cellStyle name="Normale" xfId="0" builtinId="0"/>
  </cellStyles>
  <dxfs count="1">
    <dxf>
      <font>
        <color theme="0"/>
      </font>
    </dxf>
  </dxfs>
  <tableStyles count="0" defaultTableStyle="TableStyleMedium9"/>
  <colors>
    <mruColors>
      <color rgb="FF0099FF"/>
      <color rgb="FF009900"/>
      <color rgb="FFFFFF99"/>
      <color rgb="FFFFFF66"/>
      <color rgb="FF339933"/>
      <color rgb="FFFFFFCC"/>
      <color rgb="FF66CCFF"/>
      <color rgb="FF00FFFF"/>
      <color rgb="FFCC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480060</xdr:colOff>
      <xdr:row>0</xdr:row>
      <xdr:rowOff>0</xdr:rowOff>
    </xdr:from>
    <xdr:to>
      <xdr:col>2</xdr:col>
      <xdr:colOff>876300</xdr:colOff>
      <xdr:row>1</xdr:row>
      <xdr:rowOff>185432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" y="0"/>
          <a:ext cx="396240" cy="375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502921</xdr:colOff>
      <xdr:row>0</xdr:row>
      <xdr:rowOff>0</xdr:rowOff>
    </xdr:from>
    <xdr:to>
      <xdr:col>2</xdr:col>
      <xdr:colOff>899161</xdr:colOff>
      <xdr:row>1</xdr:row>
      <xdr:rowOff>185432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4841" y="0"/>
          <a:ext cx="396240" cy="375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46"/>
  <sheetViews>
    <sheetView showGridLines="0" tabSelected="1" zoomScale="95" zoomScaleNormal="95" workbookViewId="0">
      <selection activeCell="AB19" sqref="AB19"/>
    </sheetView>
  </sheetViews>
  <sheetFormatPr defaultColWidth="0" defaultRowHeight="15" zeroHeight="1"/>
  <cols>
    <col min="1" max="1" width="1.7109375" style="47" customWidth="1"/>
    <col min="2" max="2" width="4.42578125" style="31" hidden="1" customWidth="1"/>
    <col min="3" max="3" width="20.7109375" style="32" customWidth="1"/>
    <col min="4" max="4" width="4" style="32" customWidth="1"/>
    <col min="5" max="5" width="1.7109375" style="32" customWidth="1"/>
    <col min="6" max="6" width="4.85546875" style="32" bestFit="1" customWidth="1"/>
    <col min="7" max="7" width="3.28515625" style="32" bestFit="1" customWidth="1"/>
    <col min="8" max="8" width="5.7109375" style="31" customWidth="1"/>
    <col min="9" max="9" width="6.28515625" style="30" customWidth="1"/>
    <col min="10" max="10" width="5.85546875" style="51" customWidth="1"/>
    <col min="11" max="11" width="4.5703125" style="32" hidden="1" customWidth="1"/>
    <col min="12" max="12" width="4.140625" style="32" hidden="1" customWidth="1"/>
    <col min="13" max="14" width="20.7109375" style="32" customWidth="1"/>
    <col min="15" max="17" width="2" style="32" bestFit="1" customWidth="1"/>
    <col min="18" max="18" width="1.5703125" style="32" bestFit="1" customWidth="1"/>
    <col min="19" max="19" width="3" style="32" bestFit="1" customWidth="1"/>
    <col min="20" max="20" width="1.7109375" style="32" bestFit="1" customWidth="1"/>
    <col min="21" max="21" width="3" style="32" bestFit="1" customWidth="1"/>
    <col min="22" max="22" width="1.5703125" style="32" bestFit="1" customWidth="1"/>
    <col min="23" max="23" width="3" style="32" bestFit="1" customWidth="1"/>
    <col min="24" max="24" width="1.7109375" style="32" bestFit="1" customWidth="1"/>
    <col min="25" max="25" width="3" style="32" bestFit="1" customWidth="1"/>
    <col min="26" max="26" width="1.5703125" style="32" bestFit="1" customWidth="1"/>
    <col min="27" max="27" width="3" style="32" bestFit="1" customWidth="1"/>
    <col min="28" max="28" width="1.7109375" style="32" bestFit="1" customWidth="1"/>
    <col min="29" max="29" width="3" style="32" bestFit="1" customWidth="1"/>
    <col min="30" max="30" width="1.5703125" style="32" customWidth="1"/>
    <col min="31" max="31" width="1.7109375" style="32" customWidth="1"/>
    <col min="32" max="33" width="3.28515625" style="32" hidden="1" customWidth="1"/>
    <col min="34" max="34" width="6.28515625" style="32" hidden="1" customWidth="1"/>
    <col min="35" max="35" width="4.85546875" style="32" hidden="1" customWidth="1"/>
    <col min="36" max="36" width="3.42578125" style="32" hidden="1" customWidth="1"/>
    <col min="37" max="37" width="5.7109375" style="32" customWidth="1"/>
    <col min="38" max="38" width="20.7109375" style="32" customWidth="1"/>
    <col min="39" max="39" width="4.42578125" style="32" customWidth="1"/>
    <col min="40" max="40" width="4.7109375" style="32" customWidth="1"/>
    <col min="41" max="42" width="4.28515625" style="32" customWidth="1"/>
    <col min="43" max="43" width="5.5703125" style="32" customWidth="1"/>
    <col min="44" max="44" width="1.7109375" style="36" customWidth="1"/>
    <col min="45" max="16384" width="8.85546875" style="4" hidden="1"/>
  </cols>
  <sheetData>
    <row r="1" spans="1:16382" s="5" customFormat="1" ht="15.75" thickBot="1">
      <c r="A1" s="23"/>
      <c r="B1" s="48"/>
      <c r="C1" s="232"/>
      <c r="D1" s="234" t="s">
        <v>107</v>
      </c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6"/>
      <c r="AR1" s="36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pans="1:16382" s="13" customFormat="1" ht="15.75" thickBot="1">
      <c r="A2" s="24"/>
      <c r="B2" s="49"/>
      <c r="C2" s="233"/>
      <c r="D2" s="237" t="s">
        <v>26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9"/>
      <c r="AR2" s="36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pans="1:16382" customFormat="1" ht="15.75" thickBot="1">
      <c r="A3" s="25"/>
      <c r="B3" s="26"/>
      <c r="C3" s="14" t="s">
        <v>24</v>
      </c>
      <c r="D3" s="27"/>
      <c r="E3" s="28"/>
      <c r="F3" s="28"/>
      <c r="G3" s="28"/>
      <c r="H3" s="29" t="s">
        <v>25</v>
      </c>
      <c r="I3" s="30"/>
      <c r="J3" s="51"/>
      <c r="K3" s="32"/>
      <c r="L3" s="32"/>
      <c r="M3" s="33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4"/>
      <c r="AF3" s="34" t="s">
        <v>16</v>
      </c>
      <c r="AG3" s="34" t="s">
        <v>17</v>
      </c>
      <c r="AH3" s="34" t="s">
        <v>18</v>
      </c>
      <c r="AI3" s="34" t="s">
        <v>19</v>
      </c>
      <c r="AJ3" s="32"/>
      <c r="AK3" s="32"/>
      <c r="AL3" s="35" t="s">
        <v>20</v>
      </c>
      <c r="AM3" s="32"/>
      <c r="AN3" s="32"/>
      <c r="AO3" s="32"/>
      <c r="AP3" s="32"/>
      <c r="AQ3" s="32"/>
      <c r="AR3" s="36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pans="1:16382" customFormat="1" ht="15.75" thickBot="1">
      <c r="A4" s="25"/>
      <c r="B4" s="100" t="s">
        <v>23</v>
      </c>
      <c r="C4" s="215" t="s">
        <v>109</v>
      </c>
      <c r="D4" s="216" t="s">
        <v>2</v>
      </c>
      <c r="E4" s="37"/>
      <c r="F4" s="217" t="s">
        <v>3</v>
      </c>
      <c r="G4" s="218" t="s">
        <v>33</v>
      </c>
      <c r="H4" s="219" t="s">
        <v>4</v>
      </c>
      <c r="I4" s="219" t="s">
        <v>5</v>
      </c>
      <c r="J4" s="218" t="s">
        <v>0</v>
      </c>
      <c r="K4" s="218" t="s">
        <v>10</v>
      </c>
      <c r="L4" s="218" t="s">
        <v>11</v>
      </c>
      <c r="M4" s="228" t="s">
        <v>21</v>
      </c>
      <c r="N4" s="229"/>
      <c r="O4" s="230" t="s">
        <v>22</v>
      </c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31"/>
      <c r="AE4" s="34"/>
      <c r="AF4" s="34"/>
      <c r="AG4" s="34"/>
      <c r="AH4" s="32"/>
      <c r="AI4" s="32"/>
      <c r="AJ4" s="101" t="s">
        <v>23</v>
      </c>
      <c r="AK4" s="220"/>
      <c r="AL4" s="221" t="s">
        <v>109</v>
      </c>
      <c r="AM4" s="222"/>
      <c r="AN4" s="222"/>
      <c r="AO4" s="222"/>
      <c r="AP4" s="222"/>
      <c r="AQ4" s="223"/>
      <c r="AR4" s="36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 customFormat="1" ht="15.75" thickBot="1">
      <c r="A5" s="25"/>
      <c r="B5" s="87">
        <v>1</v>
      </c>
      <c r="C5" s="88" t="s">
        <v>112</v>
      </c>
      <c r="D5" s="89" t="s">
        <v>30</v>
      </c>
      <c r="E5" s="38"/>
      <c r="F5" s="120">
        <v>1</v>
      </c>
      <c r="G5" s="121">
        <v>1</v>
      </c>
      <c r="H5" s="122">
        <v>1</v>
      </c>
      <c r="I5" s="123">
        <v>0.60416666666666663</v>
      </c>
      <c r="J5" s="124">
        <v>1</v>
      </c>
      <c r="K5" s="124">
        <v>1</v>
      </c>
      <c r="L5" s="124">
        <v>4</v>
      </c>
      <c r="M5" s="125" t="str">
        <f>VLOOKUP(K5,$B$5:$C$20,2,FALSE)</f>
        <v>S. Pallavolo 1</v>
      </c>
      <c r="N5" s="125" t="str">
        <f t="shared" ref="N5:N28" si="0">VLOOKUP(L5,$B$5:$C$28,2,FALSE)</f>
        <v>S. Brugnato 1</v>
      </c>
      <c r="O5" s="126">
        <v>1</v>
      </c>
      <c r="P5" s="127" t="s">
        <v>6</v>
      </c>
      <c r="Q5" s="128">
        <v>0</v>
      </c>
      <c r="R5" s="127" t="s">
        <v>7</v>
      </c>
      <c r="S5" s="128">
        <v>17</v>
      </c>
      <c r="T5" s="127" t="s">
        <v>6</v>
      </c>
      <c r="U5" s="128">
        <v>0</v>
      </c>
      <c r="V5" s="127" t="s">
        <v>8</v>
      </c>
      <c r="W5" s="128"/>
      <c r="X5" s="127" t="s">
        <v>6</v>
      </c>
      <c r="Y5" s="128"/>
      <c r="Z5" s="127" t="s">
        <v>8</v>
      </c>
      <c r="AA5" s="128"/>
      <c r="AB5" s="127" t="s">
        <v>6</v>
      </c>
      <c r="AC5" s="128"/>
      <c r="AD5" s="129" t="s">
        <v>9</v>
      </c>
      <c r="AE5" s="34"/>
      <c r="AF5" s="34">
        <f>IF(O5&gt;Q5,1,0)</f>
        <v>1</v>
      </c>
      <c r="AG5" s="34">
        <f>IF(Q5&gt;O5,1,0)</f>
        <v>0</v>
      </c>
      <c r="AH5" s="32">
        <f>S5+W5+AA5</f>
        <v>17</v>
      </c>
      <c r="AI5" s="32">
        <f>U5+Y5+AC5</f>
        <v>0</v>
      </c>
      <c r="AJ5" s="50"/>
      <c r="AK5" s="58" t="s">
        <v>27</v>
      </c>
      <c r="AL5" s="39" t="s">
        <v>46</v>
      </c>
      <c r="AM5" s="39" t="s">
        <v>1</v>
      </c>
      <c r="AN5" s="39" t="s">
        <v>15</v>
      </c>
      <c r="AO5" s="40" t="s">
        <v>12</v>
      </c>
      <c r="AP5" s="40" t="s">
        <v>13</v>
      </c>
      <c r="AQ5" s="41" t="s">
        <v>14</v>
      </c>
      <c r="AR5" s="36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 customFormat="1">
      <c r="A6" s="25"/>
      <c r="B6" s="90">
        <v>2</v>
      </c>
      <c r="C6" s="91" t="s">
        <v>116</v>
      </c>
      <c r="D6" s="92" t="s">
        <v>30</v>
      </c>
      <c r="E6" s="38"/>
      <c r="F6" s="130">
        <f>F5+1</f>
        <v>2</v>
      </c>
      <c r="G6" s="73">
        <v>1</v>
      </c>
      <c r="H6" s="74">
        <v>1</v>
      </c>
      <c r="I6" s="75">
        <v>0.60416666666666663</v>
      </c>
      <c r="J6" s="76">
        <v>2</v>
      </c>
      <c r="K6" s="76">
        <v>2</v>
      </c>
      <c r="L6" s="76">
        <v>3</v>
      </c>
      <c r="M6" s="77" t="str">
        <f t="shared" ref="M6:M28" si="1">VLOOKUP(K6,$B$5:$C$28,2,FALSE)</f>
        <v>Podenzana 1</v>
      </c>
      <c r="N6" s="77" t="str">
        <f t="shared" si="0"/>
        <v>Canaletto</v>
      </c>
      <c r="O6" s="84">
        <v>1</v>
      </c>
      <c r="P6" s="85" t="s">
        <v>6</v>
      </c>
      <c r="Q6" s="86">
        <v>0</v>
      </c>
      <c r="R6" s="85" t="s">
        <v>7</v>
      </c>
      <c r="S6" s="86">
        <v>10</v>
      </c>
      <c r="T6" s="85" t="s">
        <v>6</v>
      </c>
      <c r="U6" s="86">
        <v>9</v>
      </c>
      <c r="V6" s="85" t="s">
        <v>8</v>
      </c>
      <c r="W6" s="86"/>
      <c r="X6" s="85" t="s">
        <v>6</v>
      </c>
      <c r="Y6" s="86"/>
      <c r="Z6" s="85" t="s">
        <v>8</v>
      </c>
      <c r="AA6" s="86"/>
      <c r="AB6" s="85" t="s">
        <v>6</v>
      </c>
      <c r="AC6" s="86"/>
      <c r="AD6" s="131" t="s">
        <v>9</v>
      </c>
      <c r="AE6" s="34"/>
      <c r="AF6" s="34">
        <f t="shared" ref="AF6:AF28" si="2">IF(O6&gt;Q6,1,0)</f>
        <v>1</v>
      </c>
      <c r="AG6" s="34">
        <f t="shared" ref="AG6:AG28" si="3">IF(Q6&gt;O6,1,0)</f>
        <v>0</v>
      </c>
      <c r="AH6" s="32">
        <f t="shared" ref="AH6:AH28" si="4">S6+W6+AA6</f>
        <v>10</v>
      </c>
      <c r="AI6" s="32">
        <f t="shared" ref="AI6:AI28" si="5">U6+Y6+AC6</f>
        <v>9</v>
      </c>
      <c r="AJ6" s="203">
        <v>1</v>
      </c>
      <c r="AK6" s="102">
        <v>1</v>
      </c>
      <c r="AL6" s="103" t="str">
        <f>VLOOKUP(AJ6,$B$4:$C$20,2,FALSE)</f>
        <v>S. Pallavolo 1</v>
      </c>
      <c r="AM6" s="104">
        <f>SUMIF($M$5:$M$28,AL6,$O$5:$O$28)+SUMIF($N$5:$N$28,AL6,$Q$5:$Q$28)</f>
        <v>3</v>
      </c>
      <c r="AN6" s="104">
        <f>SUMIF($M$5:$M$28,AL6,$AF$5:$AF$28)+SUMIF($N$5:$N$28,AL6,$AG$5:$AG$28)</f>
        <v>3</v>
      </c>
      <c r="AO6" s="105">
        <f>SUMIF($M$5:$M$28,AL6,$AH$5:$AH$28)+SUMIF($N$5:$N$28,AL6,$AI$5:$AI$28)</f>
        <v>47</v>
      </c>
      <c r="AP6" s="105">
        <f>SUMIF($M$5:$M$28,AL6,$AI$5:$AI$28)+SUMIF($N$5:$N$28,AL6,$AH$5:$AH$28)</f>
        <v>2</v>
      </c>
      <c r="AQ6" s="106">
        <f>AO6/AP6</f>
        <v>23.5</v>
      </c>
      <c r="AR6" s="36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 customFormat="1">
      <c r="A7" s="25"/>
      <c r="B7" s="90">
        <v>3</v>
      </c>
      <c r="C7" s="91" t="s">
        <v>120</v>
      </c>
      <c r="D7" s="92" t="s">
        <v>30</v>
      </c>
      <c r="E7" s="38"/>
      <c r="F7" s="130">
        <f t="shared" ref="F7:F28" si="6">F6+1</f>
        <v>3</v>
      </c>
      <c r="G7" s="73">
        <v>2</v>
      </c>
      <c r="H7" s="74">
        <v>1</v>
      </c>
      <c r="I7" s="75">
        <v>0.60416666666666663</v>
      </c>
      <c r="J7" s="76">
        <v>3</v>
      </c>
      <c r="K7" s="76">
        <v>5</v>
      </c>
      <c r="L7" s="76">
        <v>8</v>
      </c>
      <c r="M7" s="77" t="str">
        <f t="shared" si="1"/>
        <v>S. Pallavolo 2</v>
      </c>
      <c r="N7" s="77" t="str">
        <f t="shared" si="0"/>
        <v>S. Brugnato 2</v>
      </c>
      <c r="O7" s="84">
        <v>0</v>
      </c>
      <c r="P7" s="85" t="s">
        <v>6</v>
      </c>
      <c r="Q7" s="86">
        <v>1</v>
      </c>
      <c r="R7" s="85" t="s">
        <v>7</v>
      </c>
      <c r="S7" s="86">
        <v>9</v>
      </c>
      <c r="T7" s="85" t="s">
        <v>6</v>
      </c>
      <c r="U7" s="86">
        <v>14</v>
      </c>
      <c r="V7" s="85" t="s">
        <v>8</v>
      </c>
      <c r="W7" s="86"/>
      <c r="X7" s="85" t="s">
        <v>6</v>
      </c>
      <c r="Y7" s="86"/>
      <c r="Z7" s="85" t="s">
        <v>8</v>
      </c>
      <c r="AA7" s="86"/>
      <c r="AB7" s="85" t="s">
        <v>6</v>
      </c>
      <c r="AC7" s="86"/>
      <c r="AD7" s="131" t="s">
        <v>9</v>
      </c>
      <c r="AE7" s="34"/>
      <c r="AF7" s="34">
        <f t="shared" si="2"/>
        <v>0</v>
      </c>
      <c r="AG7" s="34">
        <f t="shared" si="3"/>
        <v>1</v>
      </c>
      <c r="AH7" s="32">
        <f t="shared" si="4"/>
        <v>9</v>
      </c>
      <c r="AI7" s="32">
        <f t="shared" si="5"/>
        <v>14</v>
      </c>
      <c r="AJ7" s="204">
        <v>2</v>
      </c>
      <c r="AK7" s="107">
        <v>2</v>
      </c>
      <c r="AL7" s="77" t="str">
        <f t="shared" ref="AL7:AL9" si="7">VLOOKUP(AJ7,$B$4:$C$20,2,FALSE)</f>
        <v>Podenzana 1</v>
      </c>
      <c r="AM7" s="78">
        <f>SUMIF($M$5:$M$28,AL7,$O$5:$O$28)+SUMIF($N$5:$N$28,AL7,$Q$5:$Q$28)</f>
        <v>2</v>
      </c>
      <c r="AN7" s="78">
        <f>SUMIF($M$5:$M$28,AL7,$AF$5:$AF$28)+SUMIF($N$5:$N$28,AL7,$AG$5:$AG$28)</f>
        <v>2</v>
      </c>
      <c r="AO7" s="108">
        <f>SUMIF($M$5:$M$28,AL7,$AH$5:$AH$28)+SUMIF($N$5:$N$28,AL7,$AI$5:$AI$28)</f>
        <v>22</v>
      </c>
      <c r="AP7" s="108">
        <f>SUMIF($M$5:$M$28,AL7,$AI$5:$AI$28)+SUMIF($N$5:$N$28,AL7,$AH$5:$AH$28)</f>
        <v>32</v>
      </c>
      <c r="AQ7" s="109">
        <f>AO7/AP7</f>
        <v>0.6875</v>
      </c>
      <c r="AR7" s="36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 customFormat="1" ht="15.75" thickBot="1">
      <c r="A8" s="25"/>
      <c r="B8" s="93">
        <v>4</v>
      </c>
      <c r="C8" s="94" t="s">
        <v>124</v>
      </c>
      <c r="D8" s="95" t="s">
        <v>30</v>
      </c>
      <c r="E8" s="38"/>
      <c r="F8" s="130">
        <f t="shared" si="6"/>
        <v>4</v>
      </c>
      <c r="G8" s="73">
        <v>2</v>
      </c>
      <c r="H8" s="74">
        <v>1</v>
      </c>
      <c r="I8" s="75">
        <v>0.60416666666666663</v>
      </c>
      <c r="J8" s="76">
        <v>4</v>
      </c>
      <c r="K8" s="76">
        <v>6</v>
      </c>
      <c r="L8" s="76">
        <v>7</v>
      </c>
      <c r="M8" s="77" t="str">
        <f t="shared" si="1"/>
        <v>Podenzana 2</v>
      </c>
      <c r="N8" s="77" t="str">
        <f t="shared" si="0"/>
        <v>Colombiera</v>
      </c>
      <c r="O8" s="84">
        <v>1</v>
      </c>
      <c r="P8" s="85" t="s">
        <v>6</v>
      </c>
      <c r="Q8" s="86">
        <v>0</v>
      </c>
      <c r="R8" s="85" t="s">
        <v>7</v>
      </c>
      <c r="S8" s="86">
        <v>12</v>
      </c>
      <c r="T8" s="85" t="s">
        <v>6</v>
      </c>
      <c r="U8" s="86">
        <v>11</v>
      </c>
      <c r="V8" s="85" t="s">
        <v>8</v>
      </c>
      <c r="W8" s="86"/>
      <c r="X8" s="85" t="s">
        <v>6</v>
      </c>
      <c r="Y8" s="86"/>
      <c r="Z8" s="85" t="s">
        <v>8</v>
      </c>
      <c r="AA8" s="86"/>
      <c r="AB8" s="85" t="s">
        <v>6</v>
      </c>
      <c r="AC8" s="86"/>
      <c r="AD8" s="131" t="s">
        <v>9</v>
      </c>
      <c r="AE8" s="34"/>
      <c r="AF8" s="34">
        <f t="shared" si="2"/>
        <v>1</v>
      </c>
      <c r="AG8" s="34">
        <f t="shared" si="3"/>
        <v>0</v>
      </c>
      <c r="AH8" s="32">
        <f t="shared" si="4"/>
        <v>12</v>
      </c>
      <c r="AI8" s="32">
        <f t="shared" si="5"/>
        <v>11</v>
      </c>
      <c r="AJ8" s="204">
        <v>3</v>
      </c>
      <c r="AK8" s="107">
        <v>3</v>
      </c>
      <c r="AL8" s="77" t="str">
        <f t="shared" si="7"/>
        <v>Canaletto</v>
      </c>
      <c r="AM8" s="78">
        <f>SUMIF($M$5:$M$28,AL8,$O$5:$O$28)+SUMIF($N$5:$N$28,AL8,$Q$5:$Q$28)</f>
        <v>1</v>
      </c>
      <c r="AN8" s="78">
        <f>SUMIF($M$5:$M$28,AL8,$AF$5:$AF$28)+SUMIF($N$5:$N$28,AL8,$AG$5:$AG$28)</f>
        <v>1</v>
      </c>
      <c r="AO8" s="108">
        <f>SUMIF($M$5:$M$28,AL8,$AH$5:$AH$28)+SUMIF($N$5:$N$28,AL8,$AI$5:$AI$28)</f>
        <v>18</v>
      </c>
      <c r="AP8" s="108">
        <f>SUMIF($M$5:$M$28,AL8,$AI$5:$AI$28)+SUMIF($N$5:$N$28,AL8,$AH$5:$AH$28)</f>
        <v>32</v>
      </c>
      <c r="AQ8" s="109">
        <f>AO8/AP8</f>
        <v>0.5625</v>
      </c>
      <c r="AR8" s="36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 customFormat="1" ht="15.75" thickBot="1">
      <c r="A9" s="25"/>
      <c r="B9" s="87">
        <v>5</v>
      </c>
      <c r="C9" s="88" t="s">
        <v>113</v>
      </c>
      <c r="D9" s="89" t="s">
        <v>31</v>
      </c>
      <c r="E9" s="38"/>
      <c r="F9" s="132">
        <f t="shared" si="6"/>
        <v>5</v>
      </c>
      <c r="G9" s="133">
        <v>3</v>
      </c>
      <c r="H9" s="134">
        <v>1</v>
      </c>
      <c r="I9" s="176">
        <v>0.60416666666666663</v>
      </c>
      <c r="J9" s="135">
        <v>5</v>
      </c>
      <c r="K9" s="135">
        <v>9</v>
      </c>
      <c r="L9" s="135">
        <v>12</v>
      </c>
      <c r="M9" s="116" t="str">
        <f t="shared" si="1"/>
        <v>Rainbow 1</v>
      </c>
      <c r="N9" s="116" t="str">
        <f t="shared" si="0"/>
        <v>Lunigiana</v>
      </c>
      <c r="O9" s="136">
        <v>0</v>
      </c>
      <c r="P9" s="137" t="s">
        <v>6</v>
      </c>
      <c r="Q9" s="138">
        <v>1</v>
      </c>
      <c r="R9" s="137" t="s">
        <v>7</v>
      </c>
      <c r="S9" s="138">
        <v>8</v>
      </c>
      <c r="T9" s="137" t="s">
        <v>6</v>
      </c>
      <c r="U9" s="138">
        <v>10</v>
      </c>
      <c r="V9" s="137" t="s">
        <v>8</v>
      </c>
      <c r="W9" s="138"/>
      <c r="X9" s="137" t="s">
        <v>6</v>
      </c>
      <c r="Y9" s="138"/>
      <c r="Z9" s="137" t="s">
        <v>8</v>
      </c>
      <c r="AA9" s="138"/>
      <c r="AB9" s="137" t="s">
        <v>6</v>
      </c>
      <c r="AC9" s="138"/>
      <c r="AD9" s="139" t="s">
        <v>9</v>
      </c>
      <c r="AE9" s="34"/>
      <c r="AF9" s="34">
        <f t="shared" si="2"/>
        <v>0</v>
      </c>
      <c r="AG9" s="34">
        <f t="shared" si="3"/>
        <v>1</v>
      </c>
      <c r="AH9" s="32">
        <f t="shared" si="4"/>
        <v>8</v>
      </c>
      <c r="AI9" s="32">
        <f t="shared" si="5"/>
        <v>10</v>
      </c>
      <c r="AJ9" s="205">
        <v>4</v>
      </c>
      <c r="AK9" s="110">
        <v>4</v>
      </c>
      <c r="AL9" s="111" t="str">
        <f t="shared" si="7"/>
        <v>S. Brugnato 1</v>
      </c>
      <c r="AM9" s="112">
        <f>SUMIF($M$5:$M$28,AL9,$O$5:$O$28)+SUMIF($N$5:$N$28,AL9,$Q$5:$Q$28)</f>
        <v>0</v>
      </c>
      <c r="AN9" s="112">
        <f>SUMIF($M$5:$M$28,AL9,$AF$5:$AF$28)+SUMIF($N$5:$N$28,AL9,$AG$5:$AG$28)</f>
        <v>0</v>
      </c>
      <c r="AO9" s="113">
        <f>SUMIF($M$5:$M$28,AL9,$AH$5:$AH$28)+SUMIF($N$5:$N$28,AL9,$AI$5:$AI$28)</f>
        <v>15</v>
      </c>
      <c r="AP9" s="113">
        <f>SUMIF($M$5:$M$28,AL9,$AI$5:$AI$28)+SUMIF($N$5:$N$28,AL9,$AH$5:$AH$28)</f>
        <v>36</v>
      </c>
      <c r="AQ9" s="114">
        <f t="shared" ref="AQ9" si="8">AO9/AP9</f>
        <v>0.41666666666666669</v>
      </c>
      <c r="AR9" s="36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 customFormat="1" ht="15.75" thickBot="1">
      <c r="A10" s="25"/>
      <c r="B10" s="90">
        <v>6</v>
      </c>
      <c r="C10" s="91" t="s">
        <v>117</v>
      </c>
      <c r="D10" s="92" t="s">
        <v>31</v>
      </c>
      <c r="E10" s="38"/>
      <c r="F10" s="120">
        <f t="shared" si="6"/>
        <v>6</v>
      </c>
      <c r="G10" s="121">
        <v>3</v>
      </c>
      <c r="H10" s="122">
        <v>2</v>
      </c>
      <c r="I10" s="123">
        <v>0.61111111111111105</v>
      </c>
      <c r="J10" s="124">
        <v>1</v>
      </c>
      <c r="K10" s="124">
        <v>10</v>
      </c>
      <c r="L10" s="124">
        <v>11</v>
      </c>
      <c r="M10" s="125" t="str">
        <f t="shared" si="1"/>
        <v>Futura Femm.</v>
      </c>
      <c r="N10" s="125" t="str">
        <f t="shared" si="0"/>
        <v>S. Bernardo 1</v>
      </c>
      <c r="O10" s="126">
        <v>0</v>
      </c>
      <c r="P10" s="127" t="s">
        <v>6</v>
      </c>
      <c r="Q10" s="128">
        <v>1</v>
      </c>
      <c r="R10" s="127" t="s">
        <v>7</v>
      </c>
      <c r="S10" s="128">
        <v>5</v>
      </c>
      <c r="T10" s="127" t="s">
        <v>6</v>
      </c>
      <c r="U10" s="128">
        <v>6</v>
      </c>
      <c r="V10" s="127" t="s">
        <v>8</v>
      </c>
      <c r="W10" s="128"/>
      <c r="X10" s="127" t="s">
        <v>6</v>
      </c>
      <c r="Y10" s="128"/>
      <c r="Z10" s="127" t="s">
        <v>8</v>
      </c>
      <c r="AA10" s="128"/>
      <c r="AB10" s="127" t="s">
        <v>6</v>
      </c>
      <c r="AC10" s="128"/>
      <c r="AD10" s="129" t="s">
        <v>9</v>
      </c>
      <c r="AE10" s="34"/>
      <c r="AF10" s="34">
        <f t="shared" si="2"/>
        <v>0</v>
      </c>
      <c r="AG10" s="34">
        <f t="shared" si="3"/>
        <v>1</v>
      </c>
      <c r="AH10" s="32">
        <f t="shared" si="4"/>
        <v>5</v>
      </c>
      <c r="AI10" s="32">
        <f t="shared" si="5"/>
        <v>6</v>
      </c>
      <c r="AJ10" s="50"/>
      <c r="AK10" s="58" t="s">
        <v>27</v>
      </c>
      <c r="AL10" s="39" t="s">
        <v>47</v>
      </c>
      <c r="AM10" s="39" t="s">
        <v>1</v>
      </c>
      <c r="AN10" s="39" t="s">
        <v>15</v>
      </c>
      <c r="AO10" s="42" t="s">
        <v>12</v>
      </c>
      <c r="AP10" s="42" t="s">
        <v>13</v>
      </c>
      <c r="AQ10" s="41" t="s">
        <v>14</v>
      </c>
      <c r="AR10" s="36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1" spans="1:16382" customFormat="1">
      <c r="A11" s="25"/>
      <c r="B11" s="90">
        <v>7</v>
      </c>
      <c r="C11" s="91" t="s">
        <v>123</v>
      </c>
      <c r="D11" s="92" t="s">
        <v>31</v>
      </c>
      <c r="E11" s="38"/>
      <c r="F11" s="130">
        <f t="shared" si="6"/>
        <v>7</v>
      </c>
      <c r="G11" s="73">
        <v>4</v>
      </c>
      <c r="H11" s="74">
        <v>2</v>
      </c>
      <c r="I11" s="75">
        <v>0.61111111111111105</v>
      </c>
      <c r="J11" s="76">
        <v>2</v>
      </c>
      <c r="K11" s="76">
        <v>13</v>
      </c>
      <c r="L11" s="76">
        <v>16</v>
      </c>
      <c r="M11" s="77" t="str">
        <f t="shared" si="1"/>
        <v>Rainbow 2</v>
      </c>
      <c r="N11" s="77" t="str">
        <f t="shared" si="0"/>
        <v>Olimpia</v>
      </c>
      <c r="O11" s="84">
        <v>0</v>
      </c>
      <c r="P11" s="85" t="s">
        <v>6</v>
      </c>
      <c r="Q11" s="86">
        <v>1</v>
      </c>
      <c r="R11" s="85" t="s">
        <v>7</v>
      </c>
      <c r="S11" s="86">
        <v>7</v>
      </c>
      <c r="T11" s="85" t="s">
        <v>6</v>
      </c>
      <c r="U11" s="86">
        <v>10</v>
      </c>
      <c r="V11" s="85" t="s">
        <v>8</v>
      </c>
      <c r="W11" s="86"/>
      <c r="X11" s="85" t="s">
        <v>6</v>
      </c>
      <c r="Y11" s="86"/>
      <c r="Z11" s="85" t="s">
        <v>8</v>
      </c>
      <c r="AA11" s="86"/>
      <c r="AB11" s="85" t="s">
        <v>6</v>
      </c>
      <c r="AC11" s="86"/>
      <c r="AD11" s="131" t="s">
        <v>9</v>
      </c>
      <c r="AE11" s="34"/>
      <c r="AF11" s="34">
        <f t="shared" si="2"/>
        <v>0</v>
      </c>
      <c r="AG11" s="34">
        <f t="shared" si="3"/>
        <v>1</v>
      </c>
      <c r="AH11" s="32">
        <f t="shared" si="4"/>
        <v>7</v>
      </c>
      <c r="AI11" s="32">
        <f t="shared" si="5"/>
        <v>10</v>
      </c>
      <c r="AJ11" s="203">
        <v>5</v>
      </c>
      <c r="AK11" s="102">
        <v>3</v>
      </c>
      <c r="AL11" s="103" t="str">
        <f>VLOOKUP(AJ11,$B$4:$C$20,2,FALSE)</f>
        <v>S. Pallavolo 2</v>
      </c>
      <c r="AM11" s="104">
        <f>SUMIF($M$5:$M$28,AL11,$O$5:$O$28)+SUMIF($N$5:$N$28,AL11,$Q$5:$Q$28)</f>
        <v>1</v>
      </c>
      <c r="AN11" s="104">
        <f>SUMIF($M$5:$M$28,AL11,$AF$5:$AF$28)+SUMIF($N$5:$N$28,AL11,$AG$5:$AG$28)</f>
        <v>1</v>
      </c>
      <c r="AO11" s="105">
        <f>SUMIF($M$5:$M$28,AL11,$AH$5:$AH$28)+SUMIF($N$5:$N$28,AL11,$AI$5:$AI$28)</f>
        <v>26</v>
      </c>
      <c r="AP11" s="105">
        <f>SUMIF($M$5:$M$28,AL11,$AI$5:$AI$28)+SUMIF($N$5:$N$28,AL11,$AH$5:$AH$28)</f>
        <v>25</v>
      </c>
      <c r="AQ11" s="106">
        <f>AO11/AP11</f>
        <v>1.04</v>
      </c>
      <c r="AR11" s="36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pans="1:16382" customFormat="1" ht="15.75" thickBot="1">
      <c r="A12" s="25"/>
      <c r="B12" s="93">
        <v>8</v>
      </c>
      <c r="C12" s="94" t="s">
        <v>125</v>
      </c>
      <c r="D12" s="95" t="s">
        <v>31</v>
      </c>
      <c r="E12" s="38"/>
      <c r="F12" s="130">
        <f t="shared" si="6"/>
        <v>8</v>
      </c>
      <c r="G12" s="73">
        <v>4</v>
      </c>
      <c r="H12" s="74">
        <v>2</v>
      </c>
      <c r="I12" s="75">
        <v>0.61111111111111105</v>
      </c>
      <c r="J12" s="76">
        <v>3</v>
      </c>
      <c r="K12" s="76">
        <v>14</v>
      </c>
      <c r="L12" s="76">
        <v>15</v>
      </c>
      <c r="M12" s="77" t="str">
        <f t="shared" si="1"/>
        <v>Futura Maschile</v>
      </c>
      <c r="N12" s="77" t="str">
        <f t="shared" si="0"/>
        <v>S. Bernardo 2</v>
      </c>
      <c r="O12" s="84">
        <v>0</v>
      </c>
      <c r="P12" s="85" t="s">
        <v>6</v>
      </c>
      <c r="Q12" s="86">
        <v>1</v>
      </c>
      <c r="R12" s="85" t="s">
        <v>7</v>
      </c>
      <c r="S12" s="86">
        <v>5</v>
      </c>
      <c r="T12" s="85" t="s">
        <v>6</v>
      </c>
      <c r="U12" s="86">
        <v>13</v>
      </c>
      <c r="V12" s="85" t="s">
        <v>8</v>
      </c>
      <c r="W12" s="86"/>
      <c r="X12" s="85" t="s">
        <v>6</v>
      </c>
      <c r="Y12" s="86"/>
      <c r="Z12" s="85" t="s">
        <v>8</v>
      </c>
      <c r="AA12" s="86"/>
      <c r="AB12" s="85" t="s">
        <v>6</v>
      </c>
      <c r="AC12" s="86"/>
      <c r="AD12" s="131" t="s">
        <v>9</v>
      </c>
      <c r="AE12" s="34"/>
      <c r="AF12" s="34">
        <f t="shared" si="2"/>
        <v>0</v>
      </c>
      <c r="AG12" s="34">
        <f t="shared" si="3"/>
        <v>1</v>
      </c>
      <c r="AH12" s="32">
        <f t="shared" si="4"/>
        <v>5</v>
      </c>
      <c r="AI12" s="32">
        <f t="shared" si="5"/>
        <v>13</v>
      </c>
      <c r="AJ12" s="204">
        <v>6</v>
      </c>
      <c r="AK12" s="107">
        <v>4</v>
      </c>
      <c r="AL12" s="77" t="str">
        <f t="shared" ref="AL12:AL14" si="9">VLOOKUP(AJ12,$B$4:$C$20,2,FALSE)</f>
        <v>Podenzana 2</v>
      </c>
      <c r="AM12" s="78">
        <f>SUMIF($M$5:$M$28,AL12,$O$5:$O$28)+SUMIF($N$5:$N$28,AL12,$Q$5:$Q$28)</f>
        <v>1</v>
      </c>
      <c r="AN12" s="78">
        <f>SUMIF($M$5:$M$28,AL12,$AF$5:$AF$28)+SUMIF($N$5:$N$28,AL12,$AG$5:$AG$28)</f>
        <v>1</v>
      </c>
      <c r="AO12" s="108">
        <f>SUMIF($M$5:$M$28,AL12,$AH$5:$AH$28)+SUMIF($N$5:$N$28,AL12,$AI$5:$AI$28)</f>
        <v>25</v>
      </c>
      <c r="AP12" s="108">
        <f>SUMIF($M$5:$M$28,AL12,$AI$5:$AI$28)+SUMIF($N$5:$N$28,AL12,$AH$5:$AH$28)</f>
        <v>33</v>
      </c>
      <c r="AQ12" s="109">
        <f>AO12/AP12</f>
        <v>0.75757575757575757</v>
      </c>
      <c r="AR12" s="36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pans="1:16382" customFormat="1">
      <c r="A13" s="25"/>
      <c r="B13" s="87">
        <v>9</v>
      </c>
      <c r="C13" s="88" t="s">
        <v>114</v>
      </c>
      <c r="D13" s="89" t="s">
        <v>32</v>
      </c>
      <c r="E13" s="43"/>
      <c r="F13" s="130">
        <f t="shared" si="6"/>
        <v>9</v>
      </c>
      <c r="G13" s="73">
        <v>1</v>
      </c>
      <c r="H13" s="74">
        <v>2</v>
      </c>
      <c r="I13" s="75">
        <v>0.61111111111111105</v>
      </c>
      <c r="J13" s="76">
        <v>4</v>
      </c>
      <c r="K13" s="76">
        <v>3</v>
      </c>
      <c r="L13" s="76">
        <v>1</v>
      </c>
      <c r="M13" s="77" t="str">
        <f t="shared" si="1"/>
        <v>Canaletto</v>
      </c>
      <c r="N13" s="77" t="str">
        <f t="shared" si="0"/>
        <v>S. Pallavolo 1</v>
      </c>
      <c r="O13" s="84">
        <v>0</v>
      </c>
      <c r="P13" s="85" t="s">
        <v>6</v>
      </c>
      <c r="Q13" s="86">
        <v>1</v>
      </c>
      <c r="R13" s="85" t="s">
        <v>7</v>
      </c>
      <c r="S13" s="86">
        <v>0</v>
      </c>
      <c r="T13" s="85" t="s">
        <v>6</v>
      </c>
      <c r="U13" s="86">
        <v>15</v>
      </c>
      <c r="V13" s="85" t="s">
        <v>8</v>
      </c>
      <c r="W13" s="86"/>
      <c r="X13" s="85" t="s">
        <v>6</v>
      </c>
      <c r="Y13" s="86"/>
      <c r="Z13" s="85" t="s">
        <v>8</v>
      </c>
      <c r="AA13" s="86"/>
      <c r="AB13" s="85" t="s">
        <v>6</v>
      </c>
      <c r="AC13" s="86"/>
      <c r="AD13" s="131" t="s">
        <v>9</v>
      </c>
      <c r="AE13" s="34"/>
      <c r="AF13" s="34">
        <f t="shared" si="2"/>
        <v>0</v>
      </c>
      <c r="AG13" s="34">
        <f t="shared" si="3"/>
        <v>1</v>
      </c>
      <c r="AH13" s="32">
        <f t="shared" si="4"/>
        <v>0</v>
      </c>
      <c r="AI13" s="32">
        <f t="shared" si="5"/>
        <v>15</v>
      </c>
      <c r="AJ13" s="204">
        <v>7</v>
      </c>
      <c r="AK13" s="107">
        <v>1</v>
      </c>
      <c r="AL13" s="77" t="str">
        <f t="shared" si="9"/>
        <v>Colombiera</v>
      </c>
      <c r="AM13" s="78">
        <f>SUMIF($M$5:$M$28,AL13,$O$5:$O$28)+SUMIF($N$5:$N$28,AL13,$Q$5:$Q$28)</f>
        <v>2</v>
      </c>
      <c r="AN13" s="78">
        <f>SUMIF($M$5:$M$28,AL13,$AF$5:$AF$28)+SUMIF($N$5:$N$28,AL13,$AG$5:$AG$28)</f>
        <v>2</v>
      </c>
      <c r="AO13" s="108">
        <f>SUMIF($M$5:$M$28,AL13,$AH$5:$AH$28)+SUMIF($N$5:$N$28,AL13,$AI$5:$AI$28)</f>
        <v>28</v>
      </c>
      <c r="AP13" s="108">
        <f>SUMIF($M$5:$M$28,AL13,$AI$5:$AI$28)+SUMIF($N$5:$N$28,AL13,$AH$5:$AH$28)</f>
        <v>24</v>
      </c>
      <c r="AQ13" s="109">
        <f>AO13/AP13</f>
        <v>1.1666666666666667</v>
      </c>
      <c r="AR13" s="36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pans="1:16382" customFormat="1" ht="15.75" thickBot="1">
      <c r="A14" s="25"/>
      <c r="B14" s="90">
        <v>10</v>
      </c>
      <c r="C14" s="91" t="s">
        <v>118</v>
      </c>
      <c r="D14" s="92" t="s">
        <v>32</v>
      </c>
      <c r="E14" s="37"/>
      <c r="F14" s="132">
        <f t="shared" si="6"/>
        <v>10</v>
      </c>
      <c r="G14" s="133">
        <v>1</v>
      </c>
      <c r="H14" s="134">
        <v>2</v>
      </c>
      <c r="I14" s="75">
        <v>0.61111111111111105</v>
      </c>
      <c r="J14" s="135">
        <v>5</v>
      </c>
      <c r="K14" s="135">
        <v>4</v>
      </c>
      <c r="L14" s="135">
        <v>2</v>
      </c>
      <c r="M14" s="116" t="str">
        <f t="shared" si="1"/>
        <v>S. Brugnato 1</v>
      </c>
      <c r="N14" s="116" t="str">
        <f t="shared" si="0"/>
        <v>Podenzana 1</v>
      </c>
      <c r="O14" s="136">
        <v>0</v>
      </c>
      <c r="P14" s="137" t="s">
        <v>6</v>
      </c>
      <c r="Q14" s="138">
        <v>1</v>
      </c>
      <c r="R14" s="137" t="s">
        <v>7</v>
      </c>
      <c r="S14" s="138">
        <v>8</v>
      </c>
      <c r="T14" s="137" t="s">
        <v>6</v>
      </c>
      <c r="U14" s="138">
        <v>10</v>
      </c>
      <c r="V14" s="137" t="s">
        <v>8</v>
      </c>
      <c r="W14" s="138"/>
      <c r="X14" s="137" t="s">
        <v>6</v>
      </c>
      <c r="Y14" s="138"/>
      <c r="Z14" s="137" t="s">
        <v>8</v>
      </c>
      <c r="AA14" s="138"/>
      <c r="AB14" s="137" t="s">
        <v>6</v>
      </c>
      <c r="AC14" s="138"/>
      <c r="AD14" s="139" t="s">
        <v>9</v>
      </c>
      <c r="AE14" s="34"/>
      <c r="AF14" s="34">
        <f t="shared" si="2"/>
        <v>0</v>
      </c>
      <c r="AG14" s="34">
        <f t="shared" si="3"/>
        <v>1</v>
      </c>
      <c r="AH14" s="32">
        <f t="shared" si="4"/>
        <v>8</v>
      </c>
      <c r="AI14" s="32">
        <f t="shared" si="5"/>
        <v>10</v>
      </c>
      <c r="AJ14" s="205">
        <v>8</v>
      </c>
      <c r="AK14" s="110">
        <v>2</v>
      </c>
      <c r="AL14" s="111" t="str">
        <f t="shared" si="9"/>
        <v>S. Brugnato 2</v>
      </c>
      <c r="AM14" s="112">
        <f>SUMIF($M$5:$M$28,AL14,$O$5:$O$28)+SUMIF($N$5:$N$28,AL14,$Q$5:$Q$28)</f>
        <v>2</v>
      </c>
      <c r="AN14" s="112">
        <f>SUMIF($M$5:$M$28,AL14,$AF$5:$AF$28)+SUMIF($N$5:$N$28,AL14,$AG$5:$AG$28)</f>
        <v>2</v>
      </c>
      <c r="AO14" s="113">
        <f>SUMIF($M$5:$M$28,AL14,$AH$5:$AH$28)+SUMIF($N$5:$N$28,AL14,$AI$5:$AI$28)</f>
        <v>31</v>
      </c>
      <c r="AP14" s="113">
        <f>SUMIF($M$5:$M$28,AL14,$AI$5:$AI$28)+SUMIF($N$5:$N$28,AL14,$AH$5:$AH$28)</f>
        <v>28</v>
      </c>
      <c r="AQ14" s="114">
        <f t="shared" ref="AQ14" si="10">AO14/AP14</f>
        <v>1.1071428571428572</v>
      </c>
      <c r="AR14" s="36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</row>
    <row r="15" spans="1:16382" customFormat="1" ht="15.75" thickBot="1">
      <c r="A15" s="25"/>
      <c r="B15" s="90">
        <v>11</v>
      </c>
      <c r="C15" s="96" t="s">
        <v>121</v>
      </c>
      <c r="D15" s="92" t="s">
        <v>32</v>
      </c>
      <c r="E15" s="38"/>
      <c r="F15" s="120">
        <f t="shared" si="6"/>
        <v>11</v>
      </c>
      <c r="G15" s="121">
        <v>2</v>
      </c>
      <c r="H15" s="122">
        <v>3</v>
      </c>
      <c r="I15" s="123">
        <v>0.61805555555555558</v>
      </c>
      <c r="J15" s="124">
        <v>1</v>
      </c>
      <c r="K15" s="124">
        <v>7</v>
      </c>
      <c r="L15" s="124">
        <v>5</v>
      </c>
      <c r="M15" s="125" t="str">
        <f t="shared" si="1"/>
        <v>Colombiera</v>
      </c>
      <c r="N15" s="125" t="str">
        <f t="shared" si="0"/>
        <v>S. Pallavolo 2</v>
      </c>
      <c r="O15" s="126">
        <v>1</v>
      </c>
      <c r="P15" s="127" t="s">
        <v>6</v>
      </c>
      <c r="Q15" s="128">
        <v>0</v>
      </c>
      <c r="R15" s="127" t="s">
        <v>7</v>
      </c>
      <c r="S15" s="128">
        <v>8</v>
      </c>
      <c r="T15" s="127" t="s">
        <v>6</v>
      </c>
      <c r="U15" s="128">
        <v>6</v>
      </c>
      <c r="V15" s="127" t="s">
        <v>8</v>
      </c>
      <c r="W15" s="128"/>
      <c r="X15" s="127" t="s">
        <v>6</v>
      </c>
      <c r="Y15" s="128"/>
      <c r="Z15" s="127" t="s">
        <v>8</v>
      </c>
      <c r="AA15" s="128"/>
      <c r="AB15" s="127" t="s">
        <v>6</v>
      </c>
      <c r="AC15" s="128"/>
      <c r="AD15" s="129" t="s">
        <v>9</v>
      </c>
      <c r="AE15" s="34"/>
      <c r="AF15" s="34">
        <f t="shared" si="2"/>
        <v>1</v>
      </c>
      <c r="AG15" s="34">
        <f t="shared" si="3"/>
        <v>0</v>
      </c>
      <c r="AH15" s="32">
        <f t="shared" si="4"/>
        <v>8</v>
      </c>
      <c r="AI15" s="32">
        <f t="shared" si="5"/>
        <v>6</v>
      </c>
      <c r="AJ15" s="50"/>
      <c r="AK15" s="58" t="s">
        <v>27</v>
      </c>
      <c r="AL15" s="39" t="s">
        <v>48</v>
      </c>
      <c r="AM15" s="39" t="s">
        <v>1</v>
      </c>
      <c r="AN15" s="39" t="s">
        <v>15</v>
      </c>
      <c r="AO15" s="42" t="s">
        <v>12</v>
      </c>
      <c r="AP15" s="42" t="s">
        <v>13</v>
      </c>
      <c r="AQ15" s="41" t="s">
        <v>14</v>
      </c>
      <c r="AR15" s="36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pans="1:16382" customFormat="1" ht="15.75" thickBot="1">
      <c r="A16" s="25"/>
      <c r="B16" s="93">
        <v>12</v>
      </c>
      <c r="C16" s="97" t="s">
        <v>126</v>
      </c>
      <c r="D16" s="95" t="s">
        <v>32</v>
      </c>
      <c r="E16" s="38"/>
      <c r="F16" s="130">
        <f t="shared" si="6"/>
        <v>12</v>
      </c>
      <c r="G16" s="73">
        <v>2</v>
      </c>
      <c r="H16" s="74">
        <v>3</v>
      </c>
      <c r="I16" s="75">
        <v>0.61805555555555558</v>
      </c>
      <c r="J16" s="76">
        <v>2</v>
      </c>
      <c r="K16" s="76">
        <v>8</v>
      </c>
      <c r="L16" s="76">
        <v>6</v>
      </c>
      <c r="M16" s="77" t="str">
        <f t="shared" si="1"/>
        <v>S. Brugnato 2</v>
      </c>
      <c r="N16" s="77" t="str">
        <f t="shared" si="0"/>
        <v>Podenzana 2</v>
      </c>
      <c r="O16" s="84">
        <v>1</v>
      </c>
      <c r="P16" s="85" t="s">
        <v>6</v>
      </c>
      <c r="Q16" s="86">
        <v>0</v>
      </c>
      <c r="R16" s="85" t="s">
        <v>7</v>
      </c>
      <c r="S16" s="86">
        <v>11</v>
      </c>
      <c r="T16" s="85" t="s">
        <v>6</v>
      </c>
      <c r="U16" s="86">
        <v>10</v>
      </c>
      <c r="V16" s="85" t="s">
        <v>8</v>
      </c>
      <c r="W16" s="86"/>
      <c r="X16" s="85" t="s">
        <v>6</v>
      </c>
      <c r="Y16" s="86"/>
      <c r="Z16" s="85" t="s">
        <v>8</v>
      </c>
      <c r="AA16" s="86"/>
      <c r="AB16" s="85" t="s">
        <v>6</v>
      </c>
      <c r="AC16" s="86"/>
      <c r="AD16" s="131" t="s">
        <v>9</v>
      </c>
      <c r="AE16" s="34"/>
      <c r="AF16" s="34">
        <f t="shared" si="2"/>
        <v>1</v>
      </c>
      <c r="AG16" s="34">
        <f t="shared" si="3"/>
        <v>0</v>
      </c>
      <c r="AH16" s="32">
        <f t="shared" si="4"/>
        <v>11</v>
      </c>
      <c r="AI16" s="32">
        <f t="shared" si="5"/>
        <v>10</v>
      </c>
      <c r="AJ16" s="203">
        <v>9</v>
      </c>
      <c r="AK16" s="102">
        <v>4</v>
      </c>
      <c r="AL16" s="103" t="str">
        <f>VLOOKUP(AJ16,$B$4:$C$20,2,FALSE)</f>
        <v>Rainbow 1</v>
      </c>
      <c r="AM16" s="104">
        <f>SUMIF($M$5:$M$28,AL16,$O$5:$O$28)+SUMIF($N$5:$N$28,AL16,$Q$5:$Q$28)</f>
        <v>0</v>
      </c>
      <c r="AN16" s="104">
        <f>SUMIF($M$5:$M$28,AL16,$AF$5:$AF$28)+SUMIF($N$5:$N$28,AL16,$AG$5:$AG$28)</f>
        <v>0</v>
      </c>
      <c r="AO16" s="105">
        <f>SUMIF($M$5:$M$28,AL16,$AH$5:$AH$28)+SUMIF($N$5:$N$28,AL16,$AI$5:$AI$28)</f>
        <v>22</v>
      </c>
      <c r="AP16" s="105">
        <f>SUMIF($M$5:$M$28,AL16,$AI$5:$AI$28)+SUMIF($N$5:$N$28,AL16,$AH$5:$AH$28)</f>
        <v>34</v>
      </c>
      <c r="AQ16" s="106">
        <f>AO16/AP16</f>
        <v>0.6470588235294118</v>
      </c>
      <c r="AR16" s="36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pans="1:16382" customFormat="1">
      <c r="A17" s="25"/>
      <c r="B17" s="87">
        <v>13</v>
      </c>
      <c r="C17" s="98" t="s">
        <v>115</v>
      </c>
      <c r="D17" s="89" t="s">
        <v>49</v>
      </c>
      <c r="E17" s="38"/>
      <c r="F17" s="130">
        <f t="shared" si="6"/>
        <v>13</v>
      </c>
      <c r="G17" s="73">
        <v>3</v>
      </c>
      <c r="H17" s="74">
        <v>3</v>
      </c>
      <c r="I17" s="75">
        <v>0.61805555555555558</v>
      </c>
      <c r="J17" s="76">
        <v>3</v>
      </c>
      <c r="K17" s="76">
        <v>11</v>
      </c>
      <c r="L17" s="76">
        <v>9</v>
      </c>
      <c r="M17" s="77" t="str">
        <f t="shared" si="1"/>
        <v>S. Bernardo 1</v>
      </c>
      <c r="N17" s="77" t="str">
        <f t="shared" si="0"/>
        <v>Rainbow 1</v>
      </c>
      <c r="O17" s="84">
        <v>1</v>
      </c>
      <c r="P17" s="85" t="s">
        <v>6</v>
      </c>
      <c r="Q17" s="86">
        <v>0</v>
      </c>
      <c r="R17" s="85" t="s">
        <v>7</v>
      </c>
      <c r="S17" s="86">
        <v>14</v>
      </c>
      <c r="T17" s="85" t="s">
        <v>6</v>
      </c>
      <c r="U17" s="86">
        <v>7</v>
      </c>
      <c r="V17" s="85" t="s">
        <v>8</v>
      </c>
      <c r="W17" s="86"/>
      <c r="X17" s="85" t="s">
        <v>6</v>
      </c>
      <c r="Y17" s="86"/>
      <c r="Z17" s="85" t="s">
        <v>8</v>
      </c>
      <c r="AA17" s="86"/>
      <c r="AB17" s="85" t="s">
        <v>6</v>
      </c>
      <c r="AC17" s="86"/>
      <c r="AD17" s="131" t="s">
        <v>9</v>
      </c>
      <c r="AE17" s="34"/>
      <c r="AF17" s="34">
        <f t="shared" si="2"/>
        <v>1</v>
      </c>
      <c r="AG17" s="34">
        <f t="shared" si="3"/>
        <v>0</v>
      </c>
      <c r="AH17" s="32">
        <f t="shared" si="4"/>
        <v>14</v>
      </c>
      <c r="AI17" s="32">
        <f t="shared" si="5"/>
        <v>7</v>
      </c>
      <c r="AJ17" s="204">
        <v>10</v>
      </c>
      <c r="AK17" s="107">
        <v>2</v>
      </c>
      <c r="AL17" s="77" t="str">
        <f t="shared" ref="AL17:AL19" si="11">VLOOKUP(AJ17,$B$4:$C$20,2,FALSE)</f>
        <v>Futura Femm.</v>
      </c>
      <c r="AM17" s="78">
        <f>SUMIF($M$5:$M$28,AL17,$O$5:$O$28)+SUMIF($N$5:$N$28,AL17,$Q$5:$Q$28)</f>
        <v>2</v>
      </c>
      <c r="AN17" s="78">
        <f>SUMIF($M$5:$M$28,AL17,$AF$5:$AF$28)+SUMIF($N$5:$N$28,AL17,$AG$5:$AG$28)</f>
        <v>2</v>
      </c>
      <c r="AO17" s="108">
        <f>SUMIF($M$5:$M$28,AL17,$AH$5:$AH$28)+SUMIF($N$5:$N$28,AL17,$AI$5:$AI$28)</f>
        <v>23</v>
      </c>
      <c r="AP17" s="108">
        <f>SUMIF($M$5:$M$28,AL17,$AI$5:$AI$28)+SUMIF($N$5:$N$28,AL17,$AH$5:$AH$28)</f>
        <v>19</v>
      </c>
      <c r="AQ17" s="109">
        <f>AO17/AP17</f>
        <v>1.2105263157894737</v>
      </c>
      <c r="AR17" s="36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pans="1:16382" customFormat="1">
      <c r="A18" s="25"/>
      <c r="B18" s="90">
        <v>14</v>
      </c>
      <c r="C18" s="96" t="s">
        <v>119</v>
      </c>
      <c r="D18" s="92" t="s">
        <v>49</v>
      </c>
      <c r="E18" s="38"/>
      <c r="F18" s="130">
        <f t="shared" si="6"/>
        <v>14</v>
      </c>
      <c r="G18" s="73">
        <v>3</v>
      </c>
      <c r="H18" s="74">
        <v>3</v>
      </c>
      <c r="I18" s="75">
        <v>0.61805555555555558</v>
      </c>
      <c r="J18" s="76">
        <v>4</v>
      </c>
      <c r="K18" s="76">
        <v>12</v>
      </c>
      <c r="L18" s="76">
        <v>10</v>
      </c>
      <c r="M18" s="77" t="str">
        <f t="shared" si="1"/>
        <v>Lunigiana</v>
      </c>
      <c r="N18" s="77" t="str">
        <f t="shared" si="0"/>
        <v>Futura Femm.</v>
      </c>
      <c r="O18" s="84">
        <v>0</v>
      </c>
      <c r="P18" s="85" t="s">
        <v>6</v>
      </c>
      <c r="Q18" s="86">
        <v>1</v>
      </c>
      <c r="R18" s="85" t="s">
        <v>7</v>
      </c>
      <c r="S18" s="86">
        <v>6</v>
      </c>
      <c r="T18" s="85" t="s">
        <v>6</v>
      </c>
      <c r="U18" s="86">
        <v>8</v>
      </c>
      <c r="V18" s="85" t="s">
        <v>8</v>
      </c>
      <c r="W18" s="86"/>
      <c r="X18" s="85" t="s">
        <v>6</v>
      </c>
      <c r="Y18" s="86"/>
      <c r="Z18" s="85" t="s">
        <v>8</v>
      </c>
      <c r="AA18" s="86"/>
      <c r="AB18" s="85" t="s">
        <v>6</v>
      </c>
      <c r="AC18" s="86"/>
      <c r="AD18" s="131" t="s">
        <v>9</v>
      </c>
      <c r="AE18" s="34"/>
      <c r="AF18" s="34">
        <f t="shared" si="2"/>
        <v>0</v>
      </c>
      <c r="AG18" s="34">
        <f t="shared" si="3"/>
        <v>1</v>
      </c>
      <c r="AH18" s="32">
        <f t="shared" si="4"/>
        <v>6</v>
      </c>
      <c r="AI18" s="32">
        <f t="shared" si="5"/>
        <v>8</v>
      </c>
      <c r="AJ18" s="204">
        <v>11</v>
      </c>
      <c r="AK18" s="107">
        <v>1</v>
      </c>
      <c r="AL18" s="77" t="str">
        <f t="shared" si="11"/>
        <v>S. Bernardo 1</v>
      </c>
      <c r="AM18" s="78">
        <f>SUMIF($M$5:$M$28,AL18,$O$5:$O$28)+SUMIF($N$5:$N$28,AL18,$Q$5:$Q$28)</f>
        <v>2</v>
      </c>
      <c r="AN18" s="78">
        <f>SUMIF($M$5:$M$28,AL18,$AF$5:$AF$28)+SUMIF($N$5:$N$28,AL18,$AG$5:$AG$28)</f>
        <v>2</v>
      </c>
      <c r="AO18" s="108">
        <f>SUMIF($M$5:$M$28,AL18,$AH$5:$AH$28)+SUMIF($N$5:$N$28,AL18,$AI$5:$AI$28)</f>
        <v>27</v>
      </c>
      <c r="AP18" s="108">
        <f>SUMIF($M$5:$M$28,AL18,$AI$5:$AI$28)+SUMIF($N$5:$N$28,AL18,$AH$5:$AH$28)</f>
        <v>21</v>
      </c>
      <c r="AQ18" s="109">
        <f>AO18/AP18</f>
        <v>1.2857142857142858</v>
      </c>
      <c r="AR18" s="36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</row>
    <row r="19" spans="1:16382" customFormat="1" ht="15.75" thickBot="1">
      <c r="A19" s="25"/>
      <c r="B19" s="90">
        <v>15</v>
      </c>
      <c r="C19" s="96" t="s">
        <v>122</v>
      </c>
      <c r="D19" s="92" t="s">
        <v>49</v>
      </c>
      <c r="E19" s="38"/>
      <c r="F19" s="132">
        <f t="shared" si="6"/>
        <v>15</v>
      </c>
      <c r="G19" s="133">
        <v>4</v>
      </c>
      <c r="H19" s="134">
        <v>3</v>
      </c>
      <c r="I19" s="75">
        <v>0.61805555555555558</v>
      </c>
      <c r="J19" s="135">
        <v>5</v>
      </c>
      <c r="K19" s="135">
        <v>15</v>
      </c>
      <c r="L19" s="135">
        <v>13</v>
      </c>
      <c r="M19" s="116" t="str">
        <f t="shared" si="1"/>
        <v>S. Bernardo 2</v>
      </c>
      <c r="N19" s="116" t="str">
        <f t="shared" si="0"/>
        <v>Rainbow 2</v>
      </c>
      <c r="O19" s="136">
        <v>1</v>
      </c>
      <c r="P19" s="137" t="s">
        <v>6</v>
      </c>
      <c r="Q19" s="138">
        <v>0</v>
      </c>
      <c r="R19" s="137" t="s">
        <v>7</v>
      </c>
      <c r="S19" s="138">
        <v>11</v>
      </c>
      <c r="T19" s="137" t="s">
        <v>6</v>
      </c>
      <c r="U19" s="138">
        <v>5</v>
      </c>
      <c r="V19" s="137" t="s">
        <v>8</v>
      </c>
      <c r="W19" s="138"/>
      <c r="X19" s="137" t="s">
        <v>6</v>
      </c>
      <c r="Y19" s="138"/>
      <c r="Z19" s="137" t="s">
        <v>8</v>
      </c>
      <c r="AA19" s="138"/>
      <c r="AB19" s="137" t="s">
        <v>6</v>
      </c>
      <c r="AC19" s="138"/>
      <c r="AD19" s="139" t="s">
        <v>9</v>
      </c>
      <c r="AE19" s="34"/>
      <c r="AF19" s="34">
        <f t="shared" si="2"/>
        <v>1</v>
      </c>
      <c r="AG19" s="34">
        <f t="shared" si="3"/>
        <v>0</v>
      </c>
      <c r="AH19" s="32">
        <f t="shared" si="4"/>
        <v>11</v>
      </c>
      <c r="AI19" s="32">
        <f t="shared" si="5"/>
        <v>5</v>
      </c>
      <c r="AJ19" s="205">
        <v>12</v>
      </c>
      <c r="AK19" s="110">
        <v>3</v>
      </c>
      <c r="AL19" s="111" t="str">
        <f t="shared" si="11"/>
        <v>Lunigiana</v>
      </c>
      <c r="AM19" s="112">
        <f>SUMIF($M$5:$M$28,AL19,$O$5:$O$28)+SUMIF($N$5:$N$28,AL19,$Q$5:$Q$28)</f>
        <v>2</v>
      </c>
      <c r="AN19" s="112">
        <f>SUMIF($M$5:$M$28,AL19,$AF$5:$AF$28)+SUMIF($N$5:$N$28,AL19,$AG$5:$AG$28)</f>
        <v>2</v>
      </c>
      <c r="AO19" s="113">
        <f>SUMIF($M$5:$M$28,AL19,$AH$5:$AH$28)+SUMIF($N$5:$N$28,AL19,$AI$5:$AI$28)</f>
        <v>25</v>
      </c>
      <c r="AP19" s="113">
        <f>SUMIF($M$5:$M$28,AL19,$AI$5:$AI$28)+SUMIF($N$5:$N$28,AL19,$AH$5:$AH$28)</f>
        <v>23</v>
      </c>
      <c r="AQ19" s="114">
        <f>AO19/AP19</f>
        <v>1.0869565217391304</v>
      </c>
      <c r="AR19" s="36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</row>
    <row r="20" spans="1:16382" customFormat="1" ht="15.75" thickBot="1">
      <c r="A20" s="25"/>
      <c r="B20" s="99">
        <v>16</v>
      </c>
      <c r="C20" s="97" t="s">
        <v>127</v>
      </c>
      <c r="D20" s="95" t="s">
        <v>49</v>
      </c>
      <c r="E20" s="38"/>
      <c r="F20" s="120">
        <f t="shared" si="6"/>
        <v>16</v>
      </c>
      <c r="G20" s="121">
        <v>4</v>
      </c>
      <c r="H20" s="122">
        <v>4</v>
      </c>
      <c r="I20" s="123">
        <v>0.625</v>
      </c>
      <c r="J20" s="124">
        <v>1</v>
      </c>
      <c r="K20" s="124">
        <v>16</v>
      </c>
      <c r="L20" s="124">
        <v>14</v>
      </c>
      <c r="M20" s="125" t="str">
        <f t="shared" si="1"/>
        <v>Olimpia</v>
      </c>
      <c r="N20" s="125" t="str">
        <f t="shared" si="0"/>
        <v>Futura Maschile</v>
      </c>
      <c r="O20" s="126">
        <v>1</v>
      </c>
      <c r="P20" s="127" t="s">
        <v>6</v>
      </c>
      <c r="Q20" s="128">
        <v>0</v>
      </c>
      <c r="R20" s="127" t="s">
        <v>7</v>
      </c>
      <c r="S20" s="128">
        <v>10</v>
      </c>
      <c r="T20" s="127" t="s">
        <v>6</v>
      </c>
      <c r="U20" s="128">
        <v>9</v>
      </c>
      <c r="V20" s="127" t="s">
        <v>8</v>
      </c>
      <c r="W20" s="128"/>
      <c r="X20" s="127" t="s">
        <v>6</v>
      </c>
      <c r="Y20" s="128"/>
      <c r="Z20" s="127" t="s">
        <v>8</v>
      </c>
      <c r="AA20" s="128"/>
      <c r="AB20" s="127" t="s">
        <v>6</v>
      </c>
      <c r="AC20" s="128"/>
      <c r="AD20" s="129" t="s">
        <v>9</v>
      </c>
      <c r="AE20" s="34"/>
      <c r="AF20" s="34">
        <f t="shared" si="2"/>
        <v>1</v>
      </c>
      <c r="AG20" s="34">
        <f t="shared" si="3"/>
        <v>0</v>
      </c>
      <c r="AH20" s="32">
        <f t="shared" si="4"/>
        <v>10</v>
      </c>
      <c r="AI20" s="32">
        <f t="shared" si="5"/>
        <v>9</v>
      </c>
      <c r="AJ20" s="50"/>
      <c r="AK20" s="58" t="s">
        <v>27</v>
      </c>
      <c r="AL20" s="39" t="s">
        <v>50</v>
      </c>
      <c r="AM20" s="39" t="s">
        <v>1</v>
      </c>
      <c r="AN20" s="39" t="s">
        <v>15</v>
      </c>
      <c r="AO20" s="42" t="s">
        <v>12</v>
      </c>
      <c r="AP20" s="42" t="s">
        <v>13</v>
      </c>
      <c r="AQ20" s="41" t="s">
        <v>14</v>
      </c>
      <c r="AR20" s="36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pans="1:16382" customFormat="1">
      <c r="A21" s="25"/>
      <c r="B21" s="26"/>
      <c r="C21" s="44"/>
      <c r="D21" s="44"/>
      <c r="E21" s="38"/>
      <c r="F21" s="130">
        <f t="shared" si="6"/>
        <v>17</v>
      </c>
      <c r="G21" s="73">
        <v>1</v>
      </c>
      <c r="H21" s="74">
        <v>4</v>
      </c>
      <c r="I21" s="75">
        <v>0.625</v>
      </c>
      <c r="J21" s="76">
        <v>2</v>
      </c>
      <c r="K21" s="76">
        <v>1</v>
      </c>
      <c r="L21" s="76">
        <v>2</v>
      </c>
      <c r="M21" s="77" t="str">
        <f t="shared" si="1"/>
        <v>S. Pallavolo 1</v>
      </c>
      <c r="N21" s="77" t="str">
        <f t="shared" si="0"/>
        <v>Podenzana 1</v>
      </c>
      <c r="O21" s="84">
        <v>1</v>
      </c>
      <c r="P21" s="85" t="s">
        <v>6</v>
      </c>
      <c r="Q21" s="86">
        <v>0</v>
      </c>
      <c r="R21" s="85" t="s">
        <v>7</v>
      </c>
      <c r="S21" s="86">
        <v>15</v>
      </c>
      <c r="T21" s="85" t="s">
        <v>6</v>
      </c>
      <c r="U21" s="86">
        <v>2</v>
      </c>
      <c r="V21" s="85" t="s">
        <v>8</v>
      </c>
      <c r="W21" s="86"/>
      <c r="X21" s="85" t="s">
        <v>6</v>
      </c>
      <c r="Y21" s="86"/>
      <c r="Z21" s="85" t="s">
        <v>8</v>
      </c>
      <c r="AA21" s="86"/>
      <c r="AB21" s="85" t="s">
        <v>6</v>
      </c>
      <c r="AC21" s="86"/>
      <c r="AD21" s="131" t="s">
        <v>9</v>
      </c>
      <c r="AE21" s="34"/>
      <c r="AF21" s="34">
        <f t="shared" si="2"/>
        <v>1</v>
      </c>
      <c r="AG21" s="34">
        <f t="shared" si="3"/>
        <v>0</v>
      </c>
      <c r="AH21" s="32">
        <f t="shared" si="4"/>
        <v>15</v>
      </c>
      <c r="AI21" s="32">
        <f t="shared" si="5"/>
        <v>2</v>
      </c>
      <c r="AJ21" s="203">
        <v>13</v>
      </c>
      <c r="AK21" s="102">
        <v>4</v>
      </c>
      <c r="AL21" s="103" t="str">
        <f>VLOOKUP(AJ21,$B$4:$C$20,2,FALSE)</f>
        <v>Rainbow 2</v>
      </c>
      <c r="AM21" s="104">
        <f>SUMIF($M$5:$M$28,AL21,$O$5:$O$28)+SUMIF($N$5:$N$28,AL21,$Q$5:$Q$28)</f>
        <v>0</v>
      </c>
      <c r="AN21" s="104">
        <f>SUMIF($M$5:$M$28,AL21,$AF$5:$AF$28)+SUMIF($N$5:$N$28,AL21,$AG$5:$AG$28)</f>
        <v>0</v>
      </c>
      <c r="AO21" s="105">
        <f>SUMIF($M$5:$M$28,AL21,$AH$5:$AH$28)+SUMIF($N$5:$N$28,AL21,$AI$5:$AI$28)</f>
        <v>18</v>
      </c>
      <c r="AP21" s="105">
        <f>SUMIF($M$5:$M$28,AL21,$AI$5:$AI$28)+SUMIF($N$5:$N$28,AL21,$AH$5:$AH$28)</f>
        <v>30</v>
      </c>
      <c r="AQ21" s="106">
        <f>AO21/AP21</f>
        <v>0.6</v>
      </c>
      <c r="AR21" s="36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pans="1:16382" customFormat="1">
      <c r="A22" s="25"/>
      <c r="B22" s="26"/>
      <c r="C22" s="44"/>
      <c r="D22" s="44"/>
      <c r="E22" s="38"/>
      <c r="F22" s="130">
        <f t="shared" si="6"/>
        <v>18</v>
      </c>
      <c r="G22" s="73">
        <v>1</v>
      </c>
      <c r="H22" s="74">
        <v>4</v>
      </c>
      <c r="I22" s="75">
        <v>0.625</v>
      </c>
      <c r="J22" s="76">
        <v>3</v>
      </c>
      <c r="K22" s="76">
        <v>3</v>
      </c>
      <c r="L22" s="76">
        <v>4</v>
      </c>
      <c r="M22" s="77" t="str">
        <f t="shared" si="1"/>
        <v>Canaletto</v>
      </c>
      <c r="N22" s="77" t="str">
        <f t="shared" si="0"/>
        <v>S. Brugnato 1</v>
      </c>
      <c r="O22" s="84">
        <v>1</v>
      </c>
      <c r="P22" s="85" t="s">
        <v>6</v>
      </c>
      <c r="Q22" s="86">
        <v>0</v>
      </c>
      <c r="R22" s="85" t="s">
        <v>7</v>
      </c>
      <c r="S22" s="86">
        <v>9</v>
      </c>
      <c r="T22" s="85" t="s">
        <v>6</v>
      </c>
      <c r="U22" s="86">
        <v>7</v>
      </c>
      <c r="V22" s="85" t="s">
        <v>8</v>
      </c>
      <c r="W22" s="86"/>
      <c r="X22" s="85" t="s">
        <v>6</v>
      </c>
      <c r="Y22" s="86"/>
      <c r="Z22" s="85" t="s">
        <v>8</v>
      </c>
      <c r="AA22" s="86"/>
      <c r="AB22" s="85" t="s">
        <v>6</v>
      </c>
      <c r="AC22" s="86"/>
      <c r="AD22" s="131" t="s">
        <v>9</v>
      </c>
      <c r="AE22" s="34"/>
      <c r="AF22" s="34">
        <f t="shared" si="2"/>
        <v>1</v>
      </c>
      <c r="AG22" s="34">
        <f t="shared" si="3"/>
        <v>0</v>
      </c>
      <c r="AH22" s="32">
        <f t="shared" si="4"/>
        <v>9</v>
      </c>
      <c r="AI22" s="32">
        <f t="shared" si="5"/>
        <v>7</v>
      </c>
      <c r="AJ22" s="204">
        <v>14</v>
      </c>
      <c r="AK22" s="107">
        <v>3</v>
      </c>
      <c r="AL22" s="77" t="str">
        <f t="shared" ref="AL22:AL24" si="12">VLOOKUP(AJ22,$B$4:$C$20,2,FALSE)</f>
        <v>Futura Maschile</v>
      </c>
      <c r="AM22" s="78">
        <f>SUMIF($M$5:$M$28,AL22,$O$5:$O$28)+SUMIF($N$5:$N$28,AL22,$Q$5:$Q$28)</f>
        <v>1</v>
      </c>
      <c r="AN22" s="78">
        <f>SUMIF($M$5:$M$28,AL22,$AF$5:$AF$28)+SUMIF($N$5:$N$28,AL22,$AG$5:$AG$28)</f>
        <v>1</v>
      </c>
      <c r="AO22" s="108">
        <f>SUMIF($M$5:$M$28,AL22,$AH$5:$AH$28)+SUMIF($N$5:$N$28,AL22,$AI$5:$AI$28)</f>
        <v>23</v>
      </c>
      <c r="AP22" s="108">
        <f>SUMIF($M$5:$M$28,AL22,$AI$5:$AI$28)+SUMIF($N$5:$N$28,AL22,$AH$5:$AH$28)</f>
        <v>29</v>
      </c>
      <c r="AQ22" s="109">
        <f>AO22/AP22</f>
        <v>0.7931034482758621</v>
      </c>
      <c r="AR22" s="36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pans="1:16382" customFormat="1">
      <c r="A23" s="25"/>
      <c r="B23" s="26"/>
      <c r="C23" s="44"/>
      <c r="D23" s="44"/>
      <c r="E23" s="43"/>
      <c r="F23" s="130">
        <f t="shared" si="6"/>
        <v>19</v>
      </c>
      <c r="G23" s="73">
        <v>2</v>
      </c>
      <c r="H23" s="74">
        <v>4</v>
      </c>
      <c r="I23" s="75">
        <v>0.625</v>
      </c>
      <c r="J23" s="76">
        <v>4</v>
      </c>
      <c r="K23" s="76">
        <v>5</v>
      </c>
      <c r="L23" s="76">
        <v>6</v>
      </c>
      <c r="M23" s="77" t="str">
        <f t="shared" si="1"/>
        <v>S. Pallavolo 2</v>
      </c>
      <c r="N23" s="77" t="str">
        <f t="shared" si="0"/>
        <v>Podenzana 2</v>
      </c>
      <c r="O23" s="84">
        <v>1</v>
      </c>
      <c r="P23" s="85" t="s">
        <v>6</v>
      </c>
      <c r="Q23" s="86">
        <v>0</v>
      </c>
      <c r="R23" s="85" t="s">
        <v>7</v>
      </c>
      <c r="S23" s="86">
        <v>11</v>
      </c>
      <c r="T23" s="85" t="s">
        <v>6</v>
      </c>
      <c r="U23" s="86">
        <v>3</v>
      </c>
      <c r="V23" s="85" t="s">
        <v>8</v>
      </c>
      <c r="W23" s="86"/>
      <c r="X23" s="85" t="s">
        <v>6</v>
      </c>
      <c r="Y23" s="86"/>
      <c r="Z23" s="85" t="s">
        <v>8</v>
      </c>
      <c r="AA23" s="86"/>
      <c r="AB23" s="85" t="s">
        <v>6</v>
      </c>
      <c r="AC23" s="86"/>
      <c r="AD23" s="131" t="s">
        <v>9</v>
      </c>
      <c r="AE23" s="34"/>
      <c r="AF23" s="34">
        <f t="shared" si="2"/>
        <v>1</v>
      </c>
      <c r="AG23" s="34">
        <f t="shared" si="3"/>
        <v>0</v>
      </c>
      <c r="AH23" s="32">
        <f t="shared" si="4"/>
        <v>11</v>
      </c>
      <c r="AI23" s="32">
        <f t="shared" si="5"/>
        <v>3</v>
      </c>
      <c r="AJ23" s="204">
        <v>15</v>
      </c>
      <c r="AK23" s="107">
        <v>1</v>
      </c>
      <c r="AL23" s="77" t="str">
        <f t="shared" si="12"/>
        <v>S. Bernardo 2</v>
      </c>
      <c r="AM23" s="78">
        <f>SUMIF($M$5:$M$28,AL23,$O$5:$O$28)+SUMIF($N$5:$N$28,AL23,$Q$5:$Q$28)</f>
        <v>3</v>
      </c>
      <c r="AN23" s="78">
        <f>SUMIF($M$5:$M$28,AL23,$AF$5:$AF$28)+SUMIF($N$5:$N$28,AL23,$AG$5:$AG$28)</f>
        <v>3</v>
      </c>
      <c r="AO23" s="108">
        <f>SUMIF($M$5:$M$28,AL23,$AH$5:$AH$28)+SUMIF($N$5:$N$28,AL23,$AI$5:$AI$28)</f>
        <v>43</v>
      </c>
      <c r="AP23" s="108">
        <f>SUMIF($M$5:$M$28,AL23,$AI$5:$AI$28)+SUMIF($N$5:$N$28,AL23,$AH$5:$AH$28)</f>
        <v>15</v>
      </c>
      <c r="AQ23" s="109">
        <f>AO23/AP23</f>
        <v>2.8666666666666667</v>
      </c>
      <c r="AR23" s="36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pans="1:16382" customFormat="1" ht="15.75" thickBot="1">
      <c r="A24" s="25"/>
      <c r="B24" s="8"/>
      <c r="C24" s="7"/>
      <c r="D24" s="45"/>
      <c r="E24" s="37"/>
      <c r="F24" s="132">
        <f t="shared" si="6"/>
        <v>20</v>
      </c>
      <c r="G24" s="133">
        <v>2</v>
      </c>
      <c r="H24" s="134">
        <v>4</v>
      </c>
      <c r="I24" s="75">
        <v>0.625</v>
      </c>
      <c r="J24" s="135">
        <v>5</v>
      </c>
      <c r="K24" s="135">
        <v>7</v>
      </c>
      <c r="L24" s="135">
        <v>8</v>
      </c>
      <c r="M24" s="116" t="str">
        <f t="shared" si="1"/>
        <v>Colombiera</v>
      </c>
      <c r="N24" s="116" t="str">
        <f t="shared" si="0"/>
        <v>S. Brugnato 2</v>
      </c>
      <c r="O24" s="136">
        <v>1</v>
      </c>
      <c r="P24" s="137" t="s">
        <v>6</v>
      </c>
      <c r="Q24" s="138">
        <v>0</v>
      </c>
      <c r="R24" s="137" t="s">
        <v>7</v>
      </c>
      <c r="S24" s="138">
        <v>9</v>
      </c>
      <c r="T24" s="137" t="s">
        <v>6</v>
      </c>
      <c r="U24" s="138">
        <v>6</v>
      </c>
      <c r="V24" s="137" t="s">
        <v>8</v>
      </c>
      <c r="W24" s="138"/>
      <c r="X24" s="137" t="s">
        <v>6</v>
      </c>
      <c r="Y24" s="138"/>
      <c r="Z24" s="137" t="s">
        <v>8</v>
      </c>
      <c r="AA24" s="138"/>
      <c r="AB24" s="137" t="s">
        <v>6</v>
      </c>
      <c r="AC24" s="138"/>
      <c r="AD24" s="139" t="s">
        <v>9</v>
      </c>
      <c r="AE24" s="34"/>
      <c r="AF24" s="34">
        <f t="shared" si="2"/>
        <v>1</v>
      </c>
      <c r="AG24" s="34">
        <f t="shared" si="3"/>
        <v>0</v>
      </c>
      <c r="AH24" s="32">
        <f t="shared" si="4"/>
        <v>9</v>
      </c>
      <c r="AI24" s="32">
        <f t="shared" si="5"/>
        <v>6</v>
      </c>
      <c r="AJ24" s="206">
        <v>16</v>
      </c>
      <c r="AK24" s="115">
        <v>2</v>
      </c>
      <c r="AL24" s="116" t="str">
        <f t="shared" si="12"/>
        <v>Olimpia</v>
      </c>
      <c r="AM24" s="117">
        <f>SUMIF($M$5:$M$28,AL24,$O$5:$O$28)+SUMIF($N$5:$N$28,AL24,$Q$5:$Q$28)</f>
        <v>2</v>
      </c>
      <c r="AN24" s="117">
        <f>SUMIF($M$5:$M$28,AL24,$AF$5:$AF$28)+SUMIF($N$5:$N$28,AL24,$AG$5:$AG$28)</f>
        <v>2</v>
      </c>
      <c r="AO24" s="118">
        <f>SUMIF($M$5:$M$28,AL24,$AH$5:$AH$28)+SUMIF($N$5:$N$28,AL24,$AI$5:$AI$28)</f>
        <v>25</v>
      </c>
      <c r="AP24" s="118">
        <f>SUMIF($M$5:$M$28,AL24,$AI$5:$AI$28)+SUMIF($N$5:$N$28,AL24,$AH$5:$AH$28)</f>
        <v>35</v>
      </c>
      <c r="AQ24" s="119">
        <f>AO24/AP24</f>
        <v>0.7142857142857143</v>
      </c>
      <c r="AR24" s="36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pans="1:16382" customFormat="1">
      <c r="A25" s="25"/>
      <c r="B25" s="8"/>
      <c r="C25" s="7"/>
      <c r="D25" s="45"/>
      <c r="E25" s="38"/>
      <c r="F25" s="120">
        <f t="shared" si="6"/>
        <v>21</v>
      </c>
      <c r="G25" s="121">
        <v>3</v>
      </c>
      <c r="H25" s="122">
        <v>5</v>
      </c>
      <c r="I25" s="172">
        <v>0.63194444444444442</v>
      </c>
      <c r="J25" s="124">
        <v>1</v>
      </c>
      <c r="K25" s="124">
        <v>9</v>
      </c>
      <c r="L25" s="124">
        <v>10</v>
      </c>
      <c r="M25" s="125" t="str">
        <f t="shared" si="1"/>
        <v>Rainbow 1</v>
      </c>
      <c r="N25" s="125" t="str">
        <f t="shared" si="0"/>
        <v>Futura Femm.</v>
      </c>
      <c r="O25" s="126">
        <v>0</v>
      </c>
      <c r="P25" s="127" t="s">
        <v>6</v>
      </c>
      <c r="Q25" s="128">
        <v>1</v>
      </c>
      <c r="R25" s="127" t="s">
        <v>7</v>
      </c>
      <c r="S25" s="128">
        <v>7</v>
      </c>
      <c r="T25" s="127" t="s">
        <v>6</v>
      </c>
      <c r="U25" s="128">
        <v>10</v>
      </c>
      <c r="V25" s="127" t="s">
        <v>8</v>
      </c>
      <c r="W25" s="128"/>
      <c r="X25" s="127" t="s">
        <v>6</v>
      </c>
      <c r="Y25" s="128"/>
      <c r="Z25" s="127" t="s">
        <v>8</v>
      </c>
      <c r="AA25" s="128"/>
      <c r="AB25" s="127" t="s">
        <v>6</v>
      </c>
      <c r="AC25" s="128"/>
      <c r="AD25" s="129" t="s">
        <v>9</v>
      </c>
      <c r="AE25" s="34"/>
      <c r="AF25" s="34">
        <f t="shared" si="2"/>
        <v>0</v>
      </c>
      <c r="AG25" s="34">
        <f t="shared" si="3"/>
        <v>1</v>
      </c>
      <c r="AH25" s="32">
        <f t="shared" si="4"/>
        <v>7</v>
      </c>
      <c r="AI25" s="32">
        <f t="shared" si="5"/>
        <v>10</v>
      </c>
      <c r="AJ25" s="56"/>
      <c r="AK25" s="56"/>
      <c r="AL25" s="56"/>
      <c r="AM25" s="56"/>
      <c r="AN25" s="56"/>
      <c r="AO25" s="56"/>
      <c r="AP25" s="56"/>
      <c r="AQ25" s="56"/>
      <c r="AR25" s="36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</row>
    <row r="26" spans="1:16382" s="9" customFormat="1">
      <c r="A26" s="55"/>
      <c r="B26" s="8"/>
      <c r="C26" s="7"/>
      <c r="D26" s="45"/>
      <c r="E26" s="38"/>
      <c r="F26" s="130">
        <f t="shared" si="6"/>
        <v>22</v>
      </c>
      <c r="G26" s="73">
        <v>3</v>
      </c>
      <c r="H26" s="74">
        <v>5</v>
      </c>
      <c r="I26" s="173">
        <v>0.63194444444444442</v>
      </c>
      <c r="J26" s="76">
        <v>2</v>
      </c>
      <c r="K26" s="76">
        <v>11</v>
      </c>
      <c r="L26" s="76">
        <v>12</v>
      </c>
      <c r="M26" s="77" t="str">
        <f t="shared" si="1"/>
        <v>S. Bernardo 1</v>
      </c>
      <c r="N26" s="77" t="str">
        <f t="shared" si="0"/>
        <v>Lunigiana</v>
      </c>
      <c r="O26" s="84">
        <v>0</v>
      </c>
      <c r="P26" s="85" t="s">
        <v>6</v>
      </c>
      <c r="Q26" s="86">
        <v>1</v>
      </c>
      <c r="R26" s="85" t="s">
        <v>7</v>
      </c>
      <c r="S26" s="86">
        <v>7</v>
      </c>
      <c r="T26" s="85" t="s">
        <v>6</v>
      </c>
      <c r="U26" s="86">
        <v>9</v>
      </c>
      <c r="V26" s="85" t="s">
        <v>8</v>
      </c>
      <c r="W26" s="86"/>
      <c r="X26" s="85" t="s">
        <v>6</v>
      </c>
      <c r="Y26" s="86"/>
      <c r="Z26" s="85" t="s">
        <v>8</v>
      </c>
      <c r="AA26" s="86"/>
      <c r="AB26" s="85" t="s">
        <v>6</v>
      </c>
      <c r="AC26" s="86"/>
      <c r="AD26" s="131" t="s">
        <v>9</v>
      </c>
      <c r="AE26" s="34"/>
      <c r="AF26" s="34">
        <f t="shared" si="2"/>
        <v>0</v>
      </c>
      <c r="AG26" s="34">
        <f t="shared" si="3"/>
        <v>1</v>
      </c>
      <c r="AH26" s="32">
        <f t="shared" si="4"/>
        <v>7</v>
      </c>
      <c r="AI26" s="32">
        <f t="shared" si="5"/>
        <v>9</v>
      </c>
      <c r="AJ26" s="57"/>
      <c r="AK26" s="57"/>
      <c r="AL26" s="57"/>
      <c r="AM26" s="57"/>
      <c r="AN26" s="57"/>
      <c r="AO26" s="57"/>
      <c r="AP26" s="57"/>
      <c r="AQ26" s="57"/>
      <c r="AR26" s="36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pans="1:16382" s="9" customFormat="1">
      <c r="A27" s="55"/>
      <c r="B27" s="8"/>
      <c r="C27" s="6"/>
      <c r="D27" s="38"/>
      <c r="E27" s="38"/>
      <c r="F27" s="130">
        <f t="shared" si="6"/>
        <v>23</v>
      </c>
      <c r="G27" s="73">
        <v>4</v>
      </c>
      <c r="H27" s="74">
        <v>5</v>
      </c>
      <c r="I27" s="173">
        <v>0.63194444444444442</v>
      </c>
      <c r="J27" s="76">
        <v>3</v>
      </c>
      <c r="K27" s="76">
        <v>13</v>
      </c>
      <c r="L27" s="76">
        <v>14</v>
      </c>
      <c r="M27" s="77" t="str">
        <f t="shared" si="1"/>
        <v>Rainbow 2</v>
      </c>
      <c r="N27" s="77" t="str">
        <f t="shared" si="0"/>
        <v>Futura Maschile</v>
      </c>
      <c r="O27" s="84">
        <v>0</v>
      </c>
      <c r="P27" s="85" t="s">
        <v>6</v>
      </c>
      <c r="Q27" s="86">
        <v>1</v>
      </c>
      <c r="R27" s="85" t="s">
        <v>7</v>
      </c>
      <c r="S27" s="86">
        <v>6</v>
      </c>
      <c r="T27" s="85" t="s">
        <v>6</v>
      </c>
      <c r="U27" s="86">
        <v>9</v>
      </c>
      <c r="V27" s="85" t="s">
        <v>8</v>
      </c>
      <c r="W27" s="86"/>
      <c r="X27" s="85" t="s">
        <v>6</v>
      </c>
      <c r="Y27" s="86"/>
      <c r="Z27" s="85" t="s">
        <v>8</v>
      </c>
      <c r="AA27" s="86"/>
      <c r="AB27" s="85" t="s">
        <v>6</v>
      </c>
      <c r="AC27" s="86"/>
      <c r="AD27" s="131" t="s">
        <v>9</v>
      </c>
      <c r="AE27" s="34"/>
      <c r="AF27" s="34">
        <f t="shared" si="2"/>
        <v>0</v>
      </c>
      <c r="AG27" s="34">
        <f t="shared" si="3"/>
        <v>1</v>
      </c>
      <c r="AH27" s="32">
        <f t="shared" si="4"/>
        <v>6</v>
      </c>
      <c r="AI27" s="32">
        <f t="shared" si="5"/>
        <v>9</v>
      </c>
      <c r="AJ27" s="57"/>
      <c r="AK27" s="57"/>
      <c r="AL27" s="57"/>
      <c r="AM27" s="57"/>
      <c r="AN27" s="57"/>
      <c r="AO27" s="57"/>
      <c r="AP27" s="57"/>
      <c r="AQ27" s="57"/>
      <c r="AR27" s="36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pans="1:16382" s="9" customFormat="1" ht="15.75" thickBot="1">
      <c r="A28" s="55"/>
      <c r="B28" s="8"/>
      <c r="C28" s="6"/>
      <c r="D28" s="38"/>
      <c r="E28" s="38"/>
      <c r="F28" s="132">
        <f t="shared" si="6"/>
        <v>24</v>
      </c>
      <c r="G28" s="133">
        <v>4</v>
      </c>
      <c r="H28" s="174">
        <v>5</v>
      </c>
      <c r="I28" s="175">
        <v>0.63194444444444442</v>
      </c>
      <c r="J28" s="135">
        <v>4</v>
      </c>
      <c r="K28" s="135">
        <v>15</v>
      </c>
      <c r="L28" s="135">
        <v>16</v>
      </c>
      <c r="M28" s="116" t="str">
        <f t="shared" si="1"/>
        <v>S. Bernardo 2</v>
      </c>
      <c r="N28" s="116" t="str">
        <f t="shared" si="0"/>
        <v>Olimpia</v>
      </c>
      <c r="O28" s="136">
        <v>1</v>
      </c>
      <c r="P28" s="137" t="s">
        <v>6</v>
      </c>
      <c r="Q28" s="138">
        <v>0</v>
      </c>
      <c r="R28" s="137" t="s">
        <v>7</v>
      </c>
      <c r="S28" s="138">
        <v>19</v>
      </c>
      <c r="T28" s="137" t="s">
        <v>6</v>
      </c>
      <c r="U28" s="138">
        <v>5</v>
      </c>
      <c r="V28" s="137" t="s">
        <v>8</v>
      </c>
      <c r="W28" s="138"/>
      <c r="X28" s="137" t="s">
        <v>6</v>
      </c>
      <c r="Y28" s="138"/>
      <c r="Z28" s="137" t="s">
        <v>8</v>
      </c>
      <c r="AA28" s="138"/>
      <c r="AB28" s="137" t="s">
        <v>6</v>
      </c>
      <c r="AC28" s="138"/>
      <c r="AD28" s="139" t="s">
        <v>9</v>
      </c>
      <c r="AE28" s="34"/>
      <c r="AF28" s="34">
        <f t="shared" si="2"/>
        <v>1</v>
      </c>
      <c r="AG28" s="34">
        <f t="shared" si="3"/>
        <v>0</v>
      </c>
      <c r="AH28" s="32">
        <f t="shared" si="4"/>
        <v>19</v>
      </c>
      <c r="AI28" s="32">
        <f t="shared" si="5"/>
        <v>5</v>
      </c>
      <c r="AJ28" s="57"/>
      <c r="AK28" s="57"/>
      <c r="AL28" s="57"/>
      <c r="AM28" s="57"/>
      <c r="AN28" s="57"/>
      <c r="AO28" s="57"/>
      <c r="AP28" s="57"/>
      <c r="AQ28" s="57"/>
      <c r="AR28" s="36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pans="1:16382" s="9" customFormat="1">
      <c r="A29" s="55"/>
      <c r="B29" s="8"/>
      <c r="C29" s="6"/>
      <c r="D29" s="213"/>
      <c r="E29" s="38"/>
      <c r="F29" s="207"/>
      <c r="G29" s="208"/>
      <c r="H29" s="214" t="s">
        <v>108</v>
      </c>
      <c r="I29" s="209"/>
      <c r="J29" s="8"/>
      <c r="K29" s="8"/>
      <c r="L29" s="8"/>
      <c r="M29" s="210"/>
      <c r="N29" s="210"/>
      <c r="O29" s="211"/>
      <c r="P29" s="210"/>
      <c r="Q29" s="212"/>
      <c r="R29" s="210"/>
      <c r="S29" s="212"/>
      <c r="T29" s="210"/>
      <c r="U29" s="212"/>
      <c r="V29" s="210"/>
      <c r="W29" s="212"/>
      <c r="X29" s="210"/>
      <c r="Y29" s="212"/>
      <c r="Z29" s="210"/>
      <c r="AA29" s="212"/>
      <c r="AB29" s="210"/>
      <c r="AC29" s="212"/>
      <c r="AD29" s="210"/>
      <c r="AE29" s="34"/>
      <c r="AF29" s="34"/>
      <c r="AG29" s="34"/>
      <c r="AH29" s="32"/>
      <c r="AI29" s="32"/>
      <c r="AJ29" s="57"/>
      <c r="AK29" s="57"/>
      <c r="AL29" s="57"/>
      <c r="AM29" s="57"/>
      <c r="AN29" s="57"/>
      <c r="AO29" s="57"/>
      <c r="AP29" s="57"/>
      <c r="AQ29" s="57"/>
      <c r="AR29" s="36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pans="1:16382" customFormat="1">
      <c r="A30" s="25"/>
      <c r="B30" s="31"/>
      <c r="C30" s="32"/>
      <c r="D30" s="32"/>
      <c r="E30" s="38"/>
      <c r="F30" s="38"/>
      <c r="G30" s="38"/>
      <c r="H30" s="31"/>
      <c r="I30" s="30"/>
      <c r="J30" s="51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6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pans="1:16382" customFormat="1" hidden="1">
      <c r="A31" s="25"/>
      <c r="B31" s="31"/>
      <c r="C31" s="32"/>
      <c r="D31" s="32"/>
      <c r="E31" s="38"/>
      <c r="F31" s="38"/>
      <c r="G31" s="38"/>
      <c r="H31" s="31"/>
      <c r="I31" s="30"/>
      <c r="J31" s="5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6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pans="1:16382" customFormat="1" hidden="1">
      <c r="A32" s="25"/>
      <c r="B32" s="31"/>
      <c r="C32" s="32"/>
      <c r="D32" s="32"/>
      <c r="E32" s="38"/>
      <c r="F32" s="38"/>
      <c r="G32" s="38"/>
      <c r="H32" s="31"/>
      <c r="I32" s="30"/>
      <c r="J32" s="5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6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pans="1:16382" customFormat="1" hidden="1">
      <c r="A33" s="25"/>
      <c r="B33" s="31"/>
      <c r="C33" s="32"/>
      <c r="D33" s="32"/>
      <c r="E33" s="38"/>
      <c r="F33" s="38"/>
      <c r="G33" s="38"/>
      <c r="H33" s="31"/>
      <c r="I33" s="30"/>
      <c r="J33" s="5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6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pans="1:16382" customFormat="1" hidden="1">
      <c r="A34" s="46"/>
      <c r="B34" s="31"/>
      <c r="C34" s="32"/>
      <c r="D34" s="32"/>
      <c r="E34" s="38"/>
      <c r="F34" s="38"/>
      <c r="G34" s="38"/>
      <c r="H34" s="31"/>
      <c r="I34" s="30"/>
      <c r="J34" s="5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6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</row>
    <row r="35" spans="1:16382" s="15" customFormat="1" hidden="1">
      <c r="A35" s="47"/>
      <c r="B35" s="31"/>
      <c r="C35" s="32"/>
      <c r="D35" s="32"/>
      <c r="E35" s="32"/>
      <c r="F35" s="32"/>
      <c r="G35" s="32"/>
      <c r="H35" s="31"/>
      <c r="I35" s="30"/>
      <c r="J35" s="5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6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</row>
    <row r="36" spans="1:16382" hidden="1"/>
    <row r="37" spans="1:16382" hidden="1"/>
    <row r="38" spans="1:16382" hidden="1"/>
    <row r="39" spans="1:16382" hidden="1"/>
    <row r="40" spans="1:16382" hidden="1"/>
    <row r="41" spans="1:16382" hidden="1"/>
    <row r="42" spans="1:16382" hidden="1"/>
    <row r="43" spans="1:16382" hidden="1"/>
    <row r="44" spans="1:16382" hidden="1"/>
    <row r="45" spans="1:16382" hidden="1"/>
    <row r="46" spans="1:16382" hidden="1"/>
  </sheetData>
  <sheetProtection sheet="1" selectLockedCells="1"/>
  <dataConsolidate function="stdDev"/>
  <mergeCells count="5">
    <mergeCell ref="M4:N4"/>
    <mergeCell ref="O4:AD4"/>
    <mergeCell ref="C1:C2"/>
    <mergeCell ref="D1:AQ1"/>
    <mergeCell ref="D2:AQ2"/>
  </mergeCells>
  <conditionalFormatting sqref="AQ6:AQ24">
    <cfRule type="containsErrors" dxfId="0" priority="1">
      <formula>ISERROR(AQ6)</formula>
    </cfRule>
  </conditionalFormatting>
  <pageMargins left="0.7" right="0.7" top="0.75" bottom="0.75" header="0.3" footer="0.3"/>
  <pageSetup paperSize="9" scale="71" fitToHeight="0" orientation="landscape" r:id="rId1"/>
  <colBreaks count="1" manualBreakCount="1">
    <brk id="14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29"/>
  <sheetViews>
    <sheetView showGridLines="0" tabSelected="1" zoomScale="105" zoomScaleNormal="105" workbookViewId="0">
      <selection activeCell="AB19" sqref="AB19"/>
    </sheetView>
  </sheetViews>
  <sheetFormatPr defaultColWidth="0" defaultRowHeight="15" zeroHeight="1"/>
  <cols>
    <col min="1" max="1" width="1.7109375" customWidth="1"/>
    <col min="2" max="2" width="4.42578125" hidden="1" customWidth="1"/>
    <col min="3" max="3" width="20.7109375" customWidth="1"/>
    <col min="4" max="4" width="1.7109375" customWidth="1"/>
    <col min="5" max="5" width="4.85546875" bestFit="1" customWidth="1"/>
    <col min="6" max="6" width="5.7109375" customWidth="1"/>
    <col min="7" max="7" width="6.28515625" style="182" customWidth="1"/>
    <col min="8" max="8" width="9.28515625" customWidth="1"/>
    <col min="9" max="9" width="5.85546875" customWidth="1"/>
    <col min="10" max="11" width="6.7109375" hidden="1" customWidth="1"/>
    <col min="12" max="13" width="20.7109375" customWidth="1"/>
    <col min="14" max="16" width="2" bestFit="1" customWidth="1"/>
    <col min="17" max="17" width="1.5703125" bestFit="1" customWidth="1"/>
    <col min="18" max="18" width="3" bestFit="1" customWidth="1"/>
    <col min="19" max="19" width="1.7109375" bestFit="1" customWidth="1"/>
    <col min="20" max="20" width="3" bestFit="1" customWidth="1"/>
    <col min="21" max="21" width="1.5703125" bestFit="1" customWidth="1"/>
    <col min="22" max="22" width="3" bestFit="1" customWidth="1"/>
    <col min="23" max="23" width="1.7109375" bestFit="1" customWidth="1"/>
    <col min="24" max="24" width="3" bestFit="1" customWidth="1"/>
    <col min="25" max="25" width="1.5703125" bestFit="1" customWidth="1"/>
    <col min="26" max="26" width="3" bestFit="1" customWidth="1"/>
    <col min="27" max="27" width="1.7109375" bestFit="1" customWidth="1"/>
    <col min="28" max="28" width="3" bestFit="1" customWidth="1"/>
    <col min="29" max="29" width="1.5703125" bestFit="1" customWidth="1"/>
    <col min="30" max="30" width="1.7109375" customWidth="1"/>
    <col min="31" max="32" width="3.28515625" hidden="1" customWidth="1"/>
    <col min="33" max="33" width="6.28515625" hidden="1" customWidth="1"/>
    <col min="34" max="34" width="4.85546875" hidden="1" customWidth="1"/>
    <col min="35" max="35" width="4.28515625" customWidth="1"/>
    <col min="36" max="36" width="20.7109375" customWidth="1"/>
    <col min="37" max="37" width="1.7109375" customWidth="1"/>
    <col min="38" max="38" width="0" hidden="1" customWidth="1"/>
    <col min="39" max="16384" width="8.85546875" hidden="1"/>
  </cols>
  <sheetData>
    <row r="1" spans="1:37" ht="15.75" thickBot="1">
      <c r="A1" s="5"/>
      <c r="B1" s="17"/>
      <c r="C1" s="240"/>
      <c r="D1" s="234" t="s">
        <v>107</v>
      </c>
      <c r="E1" s="241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5"/>
    </row>
    <row r="2" spans="1:37" ht="15.75" thickBot="1">
      <c r="A2" s="13"/>
      <c r="B2" s="18"/>
      <c r="C2" s="233"/>
      <c r="D2" s="237" t="s">
        <v>28</v>
      </c>
      <c r="E2" s="242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13"/>
    </row>
    <row r="3" spans="1:37" ht="15.75" thickBot="1">
      <c r="B3" s="3"/>
      <c r="C3" s="14" t="s">
        <v>24</v>
      </c>
      <c r="D3" s="11"/>
      <c r="E3" s="11"/>
      <c r="F3" s="16" t="s">
        <v>25</v>
      </c>
      <c r="G3" s="180"/>
      <c r="H3" s="2"/>
      <c r="I3" s="2"/>
      <c r="J3" s="1"/>
      <c r="K3" s="1"/>
      <c r="L3" s="1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9"/>
      <c r="AE3" s="19" t="s">
        <v>16</v>
      </c>
      <c r="AF3" s="19" t="s">
        <v>17</v>
      </c>
      <c r="AG3" s="19" t="s">
        <v>18</v>
      </c>
      <c r="AH3" s="19" t="s">
        <v>19</v>
      </c>
      <c r="AI3" s="56"/>
      <c r="AJ3" s="68" t="s">
        <v>29</v>
      </c>
    </row>
    <row r="4" spans="1:37" ht="15.75" thickBot="1">
      <c r="B4" s="140" t="s">
        <v>23</v>
      </c>
      <c r="C4" s="224" t="s">
        <v>109</v>
      </c>
      <c r="D4" s="1"/>
      <c r="E4" s="225" t="s">
        <v>3</v>
      </c>
      <c r="F4" s="226" t="s">
        <v>4</v>
      </c>
      <c r="G4" s="226" t="s">
        <v>5</v>
      </c>
      <c r="H4" s="227" t="s">
        <v>3</v>
      </c>
      <c r="I4" s="227" t="s">
        <v>0</v>
      </c>
      <c r="J4" s="227" t="s">
        <v>10</v>
      </c>
      <c r="K4" s="227" t="s">
        <v>11</v>
      </c>
      <c r="L4" s="245" t="s">
        <v>21</v>
      </c>
      <c r="M4" s="246"/>
      <c r="N4" s="247" t="s">
        <v>22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8"/>
      <c r="AD4" s="1"/>
      <c r="AE4" s="1"/>
      <c r="AF4" s="1"/>
      <c r="AG4" s="1"/>
      <c r="AH4" s="1"/>
      <c r="AI4" s="243" t="s">
        <v>109</v>
      </c>
      <c r="AJ4" s="244"/>
    </row>
    <row r="5" spans="1:37" ht="15.75" thickBot="1">
      <c r="B5" s="52" t="s">
        <v>34</v>
      </c>
      <c r="C5" s="60" t="str">
        <f>IFERROR(VLOOKUP(1,'G1'!$AK$6:$AL$9,2,FALSE), "1^ Girone 1")</f>
        <v>S. Pallavolo 1</v>
      </c>
      <c r="D5" s="1"/>
      <c r="E5" s="183">
        <v>25</v>
      </c>
      <c r="F5" s="184" t="s">
        <v>94</v>
      </c>
      <c r="G5" s="184" t="s">
        <v>110</v>
      </c>
      <c r="H5" s="185" t="s">
        <v>78</v>
      </c>
      <c r="I5" s="184" t="s">
        <v>94</v>
      </c>
      <c r="J5" s="186" t="s">
        <v>37</v>
      </c>
      <c r="K5" s="186" t="s">
        <v>41</v>
      </c>
      <c r="L5" s="187" t="str">
        <f t="shared" ref="L5:L12" si="0">VLOOKUP(J5,$B$5:$C$20,2,FALSE)</f>
        <v>S. Brugnato 1</v>
      </c>
      <c r="M5" s="187" t="str">
        <f t="shared" ref="M5:M12" si="1">VLOOKUP(K5,$B$4:$C$20,2,FALSE)</f>
        <v>Podenzana 2</v>
      </c>
      <c r="N5" s="188">
        <v>0</v>
      </c>
      <c r="O5" s="189" t="s">
        <v>6</v>
      </c>
      <c r="P5" s="190">
        <v>1</v>
      </c>
      <c r="Q5" s="191" t="s">
        <v>7</v>
      </c>
      <c r="R5" s="190">
        <v>10</v>
      </c>
      <c r="S5" s="191" t="s">
        <v>6</v>
      </c>
      <c r="T5" s="190">
        <v>11</v>
      </c>
      <c r="U5" s="191" t="s">
        <v>8</v>
      </c>
      <c r="V5" s="190"/>
      <c r="W5" s="191" t="s">
        <v>6</v>
      </c>
      <c r="X5" s="190"/>
      <c r="Y5" s="191" t="s">
        <v>8</v>
      </c>
      <c r="Z5" s="192"/>
      <c r="AA5" s="191" t="s">
        <v>6</v>
      </c>
      <c r="AB5" s="192"/>
      <c r="AC5" s="169" t="s">
        <v>9</v>
      </c>
      <c r="AD5" s="1"/>
      <c r="AE5" s="19">
        <f t="shared" ref="AE5:AE16" si="2">IF(N9&gt;P9,1,0)</f>
        <v>0</v>
      </c>
      <c r="AF5" s="19">
        <f t="shared" ref="AF5:AF16" si="3">IF(P9&gt;N9,1,0)</f>
        <v>1</v>
      </c>
      <c r="AG5" s="1">
        <f t="shared" ref="AG5:AG16" si="4">R9+V9+Z9</f>
        <v>8</v>
      </c>
      <c r="AH5" s="1">
        <f t="shared" ref="AH5:AH16" si="5">T9+X9+AB9</f>
        <v>11</v>
      </c>
      <c r="AI5" s="69" t="s">
        <v>63</v>
      </c>
      <c r="AJ5" s="171" t="str">
        <f>IF(N20&gt;P20,L20,IF(P20&gt;N20,M20,"1^"))</f>
        <v>S. Pallavolo 1</v>
      </c>
    </row>
    <row r="6" spans="1:37">
      <c r="B6" s="53" t="s">
        <v>38</v>
      </c>
      <c r="C6" s="61" t="str">
        <f>IFERROR(VLOOKUP(1,'G1'!$AK$11:$AL$14,2,FALSE), "1^ Girone 2")</f>
        <v>Colombiera</v>
      </c>
      <c r="D6" s="1"/>
      <c r="E6" s="151">
        <f>E5+1</f>
        <v>26</v>
      </c>
      <c r="F6" s="193" t="s">
        <v>90</v>
      </c>
      <c r="G6" s="193" t="s">
        <v>111</v>
      </c>
      <c r="H6" s="153" t="s">
        <v>79</v>
      </c>
      <c r="I6" s="193" t="s">
        <v>91</v>
      </c>
      <c r="J6" s="154" t="s">
        <v>45</v>
      </c>
      <c r="K6" s="154" t="s">
        <v>54</v>
      </c>
      <c r="L6" s="155" t="str">
        <f t="shared" si="0"/>
        <v>Rainbow 1</v>
      </c>
      <c r="M6" s="155" t="str">
        <f t="shared" si="1"/>
        <v>Rainbow 2</v>
      </c>
      <c r="N6" s="141">
        <v>1</v>
      </c>
      <c r="O6" s="142" t="s">
        <v>6</v>
      </c>
      <c r="P6" s="143">
        <v>0</v>
      </c>
      <c r="Q6" s="144" t="s">
        <v>7</v>
      </c>
      <c r="R6" s="143">
        <v>10</v>
      </c>
      <c r="S6" s="144" t="s">
        <v>6</v>
      </c>
      <c r="T6" s="143">
        <v>8</v>
      </c>
      <c r="U6" s="144" t="s">
        <v>8</v>
      </c>
      <c r="V6" s="143"/>
      <c r="W6" s="144" t="s">
        <v>6</v>
      </c>
      <c r="X6" s="143"/>
      <c r="Y6" s="144" t="s">
        <v>8</v>
      </c>
      <c r="Z6" s="145"/>
      <c r="AA6" s="144" t="s">
        <v>6</v>
      </c>
      <c r="AB6" s="145"/>
      <c r="AC6" s="156" t="s">
        <v>9</v>
      </c>
      <c r="AD6" s="1"/>
      <c r="AE6" s="19">
        <f t="shared" si="2"/>
        <v>0</v>
      </c>
      <c r="AF6" s="19">
        <f t="shared" si="3"/>
        <v>1</v>
      </c>
      <c r="AG6" s="1">
        <f t="shared" si="4"/>
        <v>7</v>
      </c>
      <c r="AH6" s="1">
        <f t="shared" si="5"/>
        <v>8</v>
      </c>
      <c r="AI6" s="69" t="s">
        <v>64</v>
      </c>
      <c r="AJ6" s="71" t="str">
        <f>IF(N20&lt;P20,L20,IF(P20&lt;N20,M20,"2^"))</f>
        <v>S. Bernardo 1</v>
      </c>
    </row>
    <row r="7" spans="1:37">
      <c r="B7" s="53" t="s">
        <v>42</v>
      </c>
      <c r="C7" s="62" t="str">
        <f>IFERROR(VLOOKUP(1,'G1'!$AK$16:$AL$19,2,FALSE), "1^ Girone 3")</f>
        <v>S. Bernardo 1</v>
      </c>
      <c r="D7" s="1"/>
      <c r="E7" s="157">
        <f t="shared" ref="E7:E12" si="6">E6+1</f>
        <v>27</v>
      </c>
      <c r="F7" s="179" t="s">
        <v>90</v>
      </c>
      <c r="G7" s="179" t="s">
        <v>111</v>
      </c>
      <c r="H7" s="80" t="s">
        <v>80</v>
      </c>
      <c r="I7" s="179" t="s">
        <v>92</v>
      </c>
      <c r="J7" s="81" t="s">
        <v>36</v>
      </c>
      <c r="K7" s="81" t="s">
        <v>40</v>
      </c>
      <c r="L7" s="82" t="str">
        <f t="shared" si="0"/>
        <v>Canaletto</v>
      </c>
      <c r="M7" s="82" t="str">
        <f t="shared" si="1"/>
        <v>S. Pallavolo 2</v>
      </c>
      <c r="N7" s="146">
        <v>0</v>
      </c>
      <c r="O7" s="147" t="s">
        <v>6</v>
      </c>
      <c r="P7" s="148">
        <v>1</v>
      </c>
      <c r="Q7" s="149" t="s">
        <v>7</v>
      </c>
      <c r="R7" s="148">
        <v>6</v>
      </c>
      <c r="S7" s="149" t="s">
        <v>6</v>
      </c>
      <c r="T7" s="148">
        <v>8</v>
      </c>
      <c r="U7" s="149" t="s">
        <v>8</v>
      </c>
      <c r="V7" s="148"/>
      <c r="W7" s="149" t="s">
        <v>6</v>
      </c>
      <c r="X7" s="148"/>
      <c r="Y7" s="149" t="s">
        <v>8</v>
      </c>
      <c r="Z7" s="150"/>
      <c r="AA7" s="149" t="s">
        <v>6</v>
      </c>
      <c r="AB7" s="150"/>
      <c r="AC7" s="158" t="s">
        <v>9</v>
      </c>
      <c r="AD7" s="1"/>
      <c r="AE7" s="19">
        <f t="shared" si="2"/>
        <v>1</v>
      </c>
      <c r="AF7" s="19">
        <f t="shared" si="3"/>
        <v>0</v>
      </c>
      <c r="AG7" s="1">
        <f t="shared" si="4"/>
        <v>14</v>
      </c>
      <c r="AH7" s="1">
        <f t="shared" si="5"/>
        <v>1</v>
      </c>
      <c r="AI7" s="69" t="s">
        <v>65</v>
      </c>
      <c r="AJ7" s="70" t="str">
        <f>IF(N19&gt;P19,L19,IF(P19&gt;N19,M19,"3^"))</f>
        <v>Colombiera</v>
      </c>
    </row>
    <row r="8" spans="1:37" ht="15.75" thickBot="1">
      <c r="B8" s="59" t="s">
        <v>51</v>
      </c>
      <c r="C8" s="63" t="str">
        <f>IFERROR(VLOOKUP(1,'G1'!$AK$21:$AL$24,2,FALSE), "1^ Girone 4")</f>
        <v>S. Bernardo 2</v>
      </c>
      <c r="D8" s="1"/>
      <c r="E8" s="157">
        <f t="shared" si="6"/>
        <v>28</v>
      </c>
      <c r="F8" s="179" t="s">
        <v>90</v>
      </c>
      <c r="G8" s="179" t="s">
        <v>111</v>
      </c>
      <c r="H8" s="80" t="s">
        <v>81</v>
      </c>
      <c r="I8" s="179" t="s">
        <v>93</v>
      </c>
      <c r="J8" s="81" t="s">
        <v>44</v>
      </c>
      <c r="K8" s="81" t="s">
        <v>53</v>
      </c>
      <c r="L8" s="82" t="str">
        <f t="shared" si="0"/>
        <v>Lunigiana</v>
      </c>
      <c r="M8" s="82" t="str">
        <f t="shared" si="1"/>
        <v>Futura Maschile</v>
      </c>
      <c r="N8" s="146">
        <v>1</v>
      </c>
      <c r="O8" s="147" t="s">
        <v>6</v>
      </c>
      <c r="P8" s="148">
        <v>0</v>
      </c>
      <c r="Q8" s="149" t="s">
        <v>7</v>
      </c>
      <c r="R8" s="148">
        <v>14</v>
      </c>
      <c r="S8" s="149" t="s">
        <v>6</v>
      </c>
      <c r="T8" s="148">
        <v>1</v>
      </c>
      <c r="U8" s="149" t="s">
        <v>8</v>
      </c>
      <c r="V8" s="148"/>
      <c r="W8" s="149" t="s">
        <v>6</v>
      </c>
      <c r="X8" s="148"/>
      <c r="Y8" s="149" t="s">
        <v>8</v>
      </c>
      <c r="Z8" s="150"/>
      <c r="AA8" s="149" t="s">
        <v>6</v>
      </c>
      <c r="AB8" s="150"/>
      <c r="AC8" s="158" t="s">
        <v>9</v>
      </c>
      <c r="AD8" s="1"/>
      <c r="AE8" s="19">
        <f t="shared" si="2"/>
        <v>1</v>
      </c>
      <c r="AF8" s="19">
        <f t="shared" si="3"/>
        <v>0</v>
      </c>
      <c r="AG8" s="1">
        <f t="shared" si="4"/>
        <v>9</v>
      </c>
      <c r="AH8" s="1">
        <f t="shared" si="5"/>
        <v>5</v>
      </c>
      <c r="AI8" s="69" t="s">
        <v>66</v>
      </c>
      <c r="AJ8" s="71" t="str">
        <f>IF(N19&lt;P19,L19,IF(P19&lt;N19,M19,"4^"))</f>
        <v>S. Bernardo 2</v>
      </c>
    </row>
    <row r="9" spans="1:37">
      <c r="B9" s="52" t="s">
        <v>35</v>
      </c>
      <c r="C9" s="64" t="str">
        <f>IFERROR(VLOOKUP(2,'G1'!$AK$6:$AL$9,2,FALSE), "2^ Girone 1")</f>
        <v>Podenzana 1</v>
      </c>
      <c r="D9" s="1"/>
      <c r="E9" s="157">
        <f t="shared" si="6"/>
        <v>29</v>
      </c>
      <c r="F9" s="79">
        <v>6</v>
      </c>
      <c r="G9" s="179" t="s">
        <v>111</v>
      </c>
      <c r="H9" s="83" t="s">
        <v>72</v>
      </c>
      <c r="I9" s="79">
        <v>4</v>
      </c>
      <c r="J9" s="81" t="s">
        <v>35</v>
      </c>
      <c r="K9" s="81" t="s">
        <v>39</v>
      </c>
      <c r="L9" s="82" t="str">
        <f t="shared" si="0"/>
        <v>Podenzana 1</v>
      </c>
      <c r="M9" s="82" t="str">
        <f t="shared" si="1"/>
        <v>S. Brugnato 2</v>
      </c>
      <c r="N9" s="146">
        <v>0</v>
      </c>
      <c r="O9" s="147" t="s">
        <v>6</v>
      </c>
      <c r="P9" s="148">
        <v>1</v>
      </c>
      <c r="Q9" s="149" t="s">
        <v>7</v>
      </c>
      <c r="R9" s="148">
        <v>8</v>
      </c>
      <c r="S9" s="149" t="s">
        <v>6</v>
      </c>
      <c r="T9" s="148">
        <v>11</v>
      </c>
      <c r="U9" s="149" t="s">
        <v>8</v>
      </c>
      <c r="V9" s="148"/>
      <c r="W9" s="149" t="s">
        <v>6</v>
      </c>
      <c r="X9" s="148"/>
      <c r="Y9" s="149" t="s">
        <v>8</v>
      </c>
      <c r="Z9" s="150"/>
      <c r="AA9" s="149" t="s">
        <v>6</v>
      </c>
      <c r="AB9" s="150"/>
      <c r="AC9" s="158" t="s">
        <v>9</v>
      </c>
      <c r="AD9" s="19"/>
      <c r="AE9" s="19">
        <f t="shared" si="2"/>
        <v>1</v>
      </c>
      <c r="AF9" s="19">
        <f t="shared" si="3"/>
        <v>0</v>
      </c>
      <c r="AG9" s="1">
        <f t="shared" si="4"/>
        <v>13</v>
      </c>
      <c r="AH9" s="1">
        <f t="shared" si="5"/>
        <v>3</v>
      </c>
      <c r="AI9" s="69" t="s">
        <v>67</v>
      </c>
      <c r="AJ9" s="70" t="str">
        <f>IF(N18&gt;P18,L18,IF(P18&gt;N18,M18,"5^"))</f>
        <v>S. Brugnato 2</v>
      </c>
    </row>
    <row r="10" spans="1:37" ht="15.75" thickBot="1">
      <c r="B10" s="53" t="s">
        <v>39</v>
      </c>
      <c r="C10" s="61" t="str">
        <f>IFERROR(VLOOKUP(2,'G1'!$AK$11:$AL$14,2,FALSE), "2^ Girone 2")</f>
        <v>S. Brugnato 2</v>
      </c>
      <c r="D10" s="1"/>
      <c r="E10" s="159">
        <f t="shared" si="6"/>
        <v>30</v>
      </c>
      <c r="F10" s="160">
        <v>6</v>
      </c>
      <c r="G10" s="194" t="s">
        <v>111</v>
      </c>
      <c r="H10" s="161" t="s">
        <v>72</v>
      </c>
      <c r="I10" s="160">
        <v>5</v>
      </c>
      <c r="J10" s="162" t="s">
        <v>43</v>
      </c>
      <c r="K10" s="162" t="s">
        <v>52</v>
      </c>
      <c r="L10" s="163" t="str">
        <f t="shared" si="0"/>
        <v>Futura Femm.</v>
      </c>
      <c r="M10" s="163" t="str">
        <f t="shared" si="1"/>
        <v>Olimpia</v>
      </c>
      <c r="N10" s="164">
        <v>0</v>
      </c>
      <c r="O10" s="165" t="s">
        <v>6</v>
      </c>
      <c r="P10" s="166">
        <v>1</v>
      </c>
      <c r="Q10" s="167" t="s">
        <v>7</v>
      </c>
      <c r="R10" s="166">
        <v>7</v>
      </c>
      <c r="S10" s="167" t="s">
        <v>6</v>
      </c>
      <c r="T10" s="166">
        <v>8</v>
      </c>
      <c r="U10" s="167" t="s">
        <v>8</v>
      </c>
      <c r="V10" s="166"/>
      <c r="W10" s="167" t="s">
        <v>6</v>
      </c>
      <c r="X10" s="166"/>
      <c r="Y10" s="167" t="s">
        <v>8</v>
      </c>
      <c r="Z10" s="168"/>
      <c r="AA10" s="167" t="s">
        <v>6</v>
      </c>
      <c r="AB10" s="168"/>
      <c r="AC10" s="169" t="s">
        <v>9</v>
      </c>
      <c r="AD10" s="1"/>
      <c r="AE10" s="19">
        <f t="shared" si="2"/>
        <v>0</v>
      </c>
      <c r="AF10" s="19">
        <f t="shared" si="3"/>
        <v>1</v>
      </c>
      <c r="AG10" s="1">
        <f t="shared" si="4"/>
        <v>8</v>
      </c>
      <c r="AH10" s="1">
        <f t="shared" si="5"/>
        <v>13</v>
      </c>
      <c r="AI10" s="69" t="s">
        <v>68</v>
      </c>
      <c r="AJ10" s="71" t="str">
        <f>IF(N18&lt;P18,L18,IF(P18&lt;N18,M18,"6^"))</f>
        <v>Olimpia</v>
      </c>
    </row>
    <row r="11" spans="1:37">
      <c r="B11" s="53" t="s">
        <v>43</v>
      </c>
      <c r="C11" s="62" t="str">
        <f>IFERROR(VLOOKUP(2,'G1'!$AK$16:$AL$19,2,FALSE), "2^ Girone 3")</f>
        <v>Futura Femm.</v>
      </c>
      <c r="D11" s="10"/>
      <c r="E11" s="151">
        <f t="shared" si="6"/>
        <v>31</v>
      </c>
      <c r="F11" s="152">
        <v>7</v>
      </c>
      <c r="G11" s="195">
        <v>0.64583333333333337</v>
      </c>
      <c r="H11" s="153" t="s">
        <v>71</v>
      </c>
      <c r="I11" s="152">
        <v>1</v>
      </c>
      <c r="J11" s="154" t="s">
        <v>34</v>
      </c>
      <c r="K11" s="154" t="s">
        <v>38</v>
      </c>
      <c r="L11" s="155" t="str">
        <f t="shared" si="0"/>
        <v>S. Pallavolo 1</v>
      </c>
      <c r="M11" s="155" t="str">
        <f t="shared" si="1"/>
        <v>Colombiera</v>
      </c>
      <c r="N11" s="196">
        <v>1</v>
      </c>
      <c r="O11" s="142" t="s">
        <v>6</v>
      </c>
      <c r="P11" s="197">
        <v>0</v>
      </c>
      <c r="Q11" s="144" t="s">
        <v>7</v>
      </c>
      <c r="R11" s="143">
        <v>14</v>
      </c>
      <c r="S11" s="144" t="s">
        <v>6</v>
      </c>
      <c r="T11" s="143">
        <v>1</v>
      </c>
      <c r="U11" s="144" t="s">
        <v>8</v>
      </c>
      <c r="V11" s="143"/>
      <c r="W11" s="144" t="s">
        <v>6</v>
      </c>
      <c r="X11" s="143"/>
      <c r="Y11" s="144" t="s">
        <v>8</v>
      </c>
      <c r="Z11" s="145"/>
      <c r="AA11" s="144" t="s">
        <v>6</v>
      </c>
      <c r="AB11" s="145"/>
      <c r="AC11" s="156" t="s">
        <v>9</v>
      </c>
      <c r="AD11" s="1"/>
      <c r="AE11" s="19">
        <f t="shared" si="2"/>
        <v>1</v>
      </c>
      <c r="AF11" s="19">
        <f t="shared" si="3"/>
        <v>0</v>
      </c>
      <c r="AG11" s="1">
        <f t="shared" si="4"/>
        <v>12</v>
      </c>
      <c r="AH11" s="1">
        <f t="shared" si="5"/>
        <v>5</v>
      </c>
      <c r="AI11" s="69" t="s">
        <v>69</v>
      </c>
      <c r="AJ11" s="70" t="str">
        <f>IF(N17&gt;P17,L17,IF(P17&gt;N17,M17,"7^"))</f>
        <v>Futura Femm.</v>
      </c>
    </row>
    <row r="12" spans="1:37" ht="15.75" thickBot="1">
      <c r="B12" s="54" t="s">
        <v>52</v>
      </c>
      <c r="C12" s="65" t="str">
        <f>IFERROR(VLOOKUP(2,'G1'!$AK$21:$AL$24,2,FALSE), "2^ Girone 4")</f>
        <v>Olimpia</v>
      </c>
      <c r="D12" s="10"/>
      <c r="E12" s="157">
        <f t="shared" si="6"/>
        <v>32</v>
      </c>
      <c r="F12" s="79">
        <v>7</v>
      </c>
      <c r="G12" s="181">
        <v>0.64583333333333337</v>
      </c>
      <c r="H12" s="80" t="s">
        <v>71</v>
      </c>
      <c r="I12" s="79">
        <v>2</v>
      </c>
      <c r="J12" s="81" t="s">
        <v>42</v>
      </c>
      <c r="K12" s="81" t="s">
        <v>51</v>
      </c>
      <c r="L12" s="82" t="str">
        <f t="shared" si="0"/>
        <v>S. Bernardo 1</v>
      </c>
      <c r="M12" s="82" t="str">
        <f t="shared" si="1"/>
        <v>S. Bernardo 2</v>
      </c>
      <c r="N12" s="146">
        <v>1</v>
      </c>
      <c r="O12" s="147" t="s">
        <v>6</v>
      </c>
      <c r="P12" s="148">
        <v>0</v>
      </c>
      <c r="Q12" s="149" t="s">
        <v>7</v>
      </c>
      <c r="R12" s="148">
        <v>9</v>
      </c>
      <c r="S12" s="149" t="s">
        <v>6</v>
      </c>
      <c r="T12" s="148">
        <v>5</v>
      </c>
      <c r="U12" s="149" t="s">
        <v>8</v>
      </c>
      <c r="V12" s="148"/>
      <c r="W12" s="149" t="s">
        <v>6</v>
      </c>
      <c r="X12" s="148"/>
      <c r="Y12" s="149" t="s">
        <v>8</v>
      </c>
      <c r="Z12" s="150"/>
      <c r="AA12" s="149" t="s">
        <v>6</v>
      </c>
      <c r="AB12" s="150"/>
      <c r="AC12" s="158" t="s">
        <v>9</v>
      </c>
      <c r="AD12" s="19"/>
      <c r="AE12" s="19">
        <f t="shared" si="2"/>
        <v>0</v>
      </c>
      <c r="AF12" s="19">
        <f t="shared" si="3"/>
        <v>1</v>
      </c>
      <c r="AG12" s="1">
        <f t="shared" si="4"/>
        <v>3</v>
      </c>
      <c r="AH12" s="1">
        <f t="shared" si="5"/>
        <v>13</v>
      </c>
      <c r="AI12" s="69" t="s">
        <v>70</v>
      </c>
      <c r="AJ12" s="71" t="str">
        <f>IF(N17&lt;P17,L17,IF(P17&lt;N17,M17,"8^"))</f>
        <v>Podenzana 1</v>
      </c>
    </row>
    <row r="13" spans="1:37">
      <c r="B13" s="52" t="s">
        <v>36</v>
      </c>
      <c r="C13" s="64" t="str">
        <f>IFERROR(VLOOKUP(3,'G1'!$AK$6:$AL$9,2,FALSE), "3^ Girone 1")</f>
        <v>Canaletto</v>
      </c>
      <c r="D13" s="10"/>
      <c r="E13" s="157">
        <f t="shared" ref="E13:E20" si="7">E12+1</f>
        <v>33</v>
      </c>
      <c r="F13" s="79">
        <v>7</v>
      </c>
      <c r="G13" s="181">
        <v>0.64583333333333337</v>
      </c>
      <c r="H13" s="80" t="s">
        <v>95</v>
      </c>
      <c r="I13" s="79">
        <v>3</v>
      </c>
      <c r="J13" s="177" t="s">
        <v>82</v>
      </c>
      <c r="K13" s="178" t="s">
        <v>83</v>
      </c>
      <c r="L13" s="82" t="str">
        <f>IF(N5&lt;P5,L5,IF(P5&lt;N5,M5,"Perdente Sf.13/16-1"))</f>
        <v>S. Brugnato 1</v>
      </c>
      <c r="M13" s="82" t="str">
        <f>IF(N6&lt;P6,L6,IF(P6&lt;N6,M6,"Perdente Sf.13/16-2"))</f>
        <v>Rainbow 2</v>
      </c>
      <c r="N13" s="146">
        <v>1</v>
      </c>
      <c r="O13" s="147" t="s">
        <v>6</v>
      </c>
      <c r="P13" s="148">
        <v>0</v>
      </c>
      <c r="Q13" s="149" t="s">
        <v>7</v>
      </c>
      <c r="R13" s="148">
        <v>13</v>
      </c>
      <c r="S13" s="149" t="s">
        <v>6</v>
      </c>
      <c r="T13" s="148">
        <v>3</v>
      </c>
      <c r="U13" s="149" t="s">
        <v>8</v>
      </c>
      <c r="V13" s="148"/>
      <c r="W13" s="149" t="s">
        <v>6</v>
      </c>
      <c r="X13" s="148"/>
      <c r="Y13" s="149" t="s">
        <v>8</v>
      </c>
      <c r="Z13" s="150"/>
      <c r="AA13" s="149" t="s">
        <v>6</v>
      </c>
      <c r="AB13" s="150"/>
      <c r="AC13" s="158" t="s">
        <v>9</v>
      </c>
      <c r="AD13" s="19"/>
      <c r="AE13" s="19">
        <f t="shared" si="2"/>
        <v>0</v>
      </c>
      <c r="AF13" s="19">
        <f t="shared" si="3"/>
        <v>1</v>
      </c>
      <c r="AG13" s="1">
        <f t="shared" si="4"/>
        <v>3</v>
      </c>
      <c r="AH13" s="1">
        <f t="shared" si="5"/>
        <v>11</v>
      </c>
      <c r="AI13" s="69" t="s">
        <v>99</v>
      </c>
      <c r="AJ13" s="70" t="str">
        <f>IF(N16&gt;P16,L16,IF(P16&gt;N16,M16,"9^"))</f>
        <v>Lunigiana</v>
      </c>
    </row>
    <row r="14" spans="1:37">
      <c r="B14" s="53" t="s">
        <v>40</v>
      </c>
      <c r="C14" s="62" t="str">
        <f>IFERROR(VLOOKUP(3,'G1'!$AK$11:$AL$14,2,FALSE), "3^ Girone 2")</f>
        <v>S. Pallavolo 2</v>
      </c>
      <c r="D14" s="20"/>
      <c r="E14" s="157">
        <f t="shared" si="7"/>
        <v>34</v>
      </c>
      <c r="F14" s="79">
        <v>7</v>
      </c>
      <c r="G14" s="181">
        <v>0.64583333333333337</v>
      </c>
      <c r="H14" s="80" t="s">
        <v>96</v>
      </c>
      <c r="I14" s="79">
        <v>4</v>
      </c>
      <c r="J14" s="177" t="s">
        <v>84</v>
      </c>
      <c r="K14" s="178" t="s">
        <v>85</v>
      </c>
      <c r="L14" s="82" t="str">
        <f>IF(N5&gt;P5,L5,IF(P5&gt;N5,M5,"Vincente Sf.13/16-1"))</f>
        <v>Podenzana 2</v>
      </c>
      <c r="M14" s="82" t="str">
        <f>IF(N6&gt;P6,L6,IF(P6&gt;N6,M6,"Vincente Sf.13/16-2"))</f>
        <v>Rainbow 1</v>
      </c>
      <c r="N14" s="146">
        <v>0</v>
      </c>
      <c r="O14" s="147" t="s">
        <v>6</v>
      </c>
      <c r="P14" s="148">
        <v>1</v>
      </c>
      <c r="Q14" s="149" t="s">
        <v>7</v>
      </c>
      <c r="R14" s="148">
        <v>8</v>
      </c>
      <c r="S14" s="149" t="s">
        <v>6</v>
      </c>
      <c r="T14" s="148">
        <v>13</v>
      </c>
      <c r="U14" s="149" t="s">
        <v>8</v>
      </c>
      <c r="V14" s="148"/>
      <c r="W14" s="149" t="s">
        <v>6</v>
      </c>
      <c r="X14" s="148"/>
      <c r="Y14" s="149" t="s">
        <v>8</v>
      </c>
      <c r="Z14" s="150"/>
      <c r="AA14" s="149" t="s">
        <v>6</v>
      </c>
      <c r="AB14" s="150"/>
      <c r="AC14" s="158" t="s">
        <v>9</v>
      </c>
      <c r="AD14" s="19"/>
      <c r="AE14" s="19">
        <f t="shared" si="2"/>
        <v>1</v>
      </c>
      <c r="AF14" s="19">
        <f t="shared" si="3"/>
        <v>0</v>
      </c>
      <c r="AG14" s="1">
        <f t="shared" si="4"/>
        <v>11</v>
      </c>
      <c r="AH14" s="1">
        <f t="shared" si="5"/>
        <v>10</v>
      </c>
      <c r="AI14" s="69" t="s">
        <v>100</v>
      </c>
      <c r="AJ14" s="71" t="str">
        <f>IF(N16&lt;P16,L16,IF(P16&lt;N16,M16,"10^"))</f>
        <v>S. Pallavolo 2</v>
      </c>
    </row>
    <row r="15" spans="1:37" ht="15.75" thickBot="1">
      <c r="B15" s="53" t="s">
        <v>44</v>
      </c>
      <c r="C15" s="61" t="str">
        <f>IFERROR(VLOOKUP(3,'G1'!$AK$16:$AL$19,2,FALSE), "3^ Girone 3")</f>
        <v>Lunigiana</v>
      </c>
      <c r="D15" s="21"/>
      <c r="E15" s="159">
        <f t="shared" si="7"/>
        <v>35</v>
      </c>
      <c r="F15" s="160">
        <v>7</v>
      </c>
      <c r="G15" s="198">
        <v>0.64583333333333337</v>
      </c>
      <c r="H15" s="170" t="s">
        <v>97</v>
      </c>
      <c r="I15" s="160">
        <v>5</v>
      </c>
      <c r="J15" s="199" t="s">
        <v>86</v>
      </c>
      <c r="K15" s="200" t="s">
        <v>87</v>
      </c>
      <c r="L15" s="163" t="str">
        <f>IF(N7&lt;P7,L7,IF(P7&lt;N7,M7,"Perdente Sf.9/12-1"))</f>
        <v>Canaletto</v>
      </c>
      <c r="M15" s="163" t="str">
        <f>IF(N8&lt;P8,L8,IF(P8&lt;N8,M8,"Perdente Sf.9/2-2"))</f>
        <v>Futura Maschile</v>
      </c>
      <c r="N15" s="164">
        <v>1</v>
      </c>
      <c r="O15" s="165" t="s">
        <v>6</v>
      </c>
      <c r="P15" s="166">
        <v>0</v>
      </c>
      <c r="Q15" s="167" t="s">
        <v>7</v>
      </c>
      <c r="R15" s="166">
        <v>12</v>
      </c>
      <c r="S15" s="167" t="s">
        <v>6</v>
      </c>
      <c r="T15" s="166">
        <v>5</v>
      </c>
      <c r="U15" s="167" t="s">
        <v>8</v>
      </c>
      <c r="V15" s="166"/>
      <c r="W15" s="167" t="s">
        <v>6</v>
      </c>
      <c r="X15" s="166"/>
      <c r="Y15" s="167" t="s">
        <v>8</v>
      </c>
      <c r="Z15" s="168"/>
      <c r="AA15" s="167" t="s">
        <v>6</v>
      </c>
      <c r="AB15" s="168"/>
      <c r="AC15" s="169" t="s">
        <v>9</v>
      </c>
      <c r="AD15" s="19"/>
      <c r="AE15" s="19">
        <f t="shared" si="2"/>
        <v>1</v>
      </c>
      <c r="AF15" s="19">
        <f t="shared" si="3"/>
        <v>0</v>
      </c>
      <c r="AG15" s="1">
        <f t="shared" si="4"/>
        <v>8</v>
      </c>
      <c r="AH15" s="1">
        <f t="shared" si="5"/>
        <v>7</v>
      </c>
      <c r="AI15" s="69" t="s">
        <v>101</v>
      </c>
      <c r="AJ15" s="70" t="str">
        <f>IF(N15&gt;P15,L15,IF(P15&gt;N15,M15,"11^"))</f>
        <v>Canaletto</v>
      </c>
    </row>
    <row r="16" spans="1:37" ht="15.75" thickBot="1">
      <c r="B16" s="54" t="s">
        <v>53</v>
      </c>
      <c r="C16" s="65" t="str">
        <f>IFERROR(VLOOKUP(3,'G1'!$AK$21:$AL$24,2,FALSE), "3^ Girone 4")</f>
        <v>Futura Maschile</v>
      </c>
      <c r="D16" s="21"/>
      <c r="E16" s="151">
        <f t="shared" si="7"/>
        <v>36</v>
      </c>
      <c r="F16" s="152">
        <v>8</v>
      </c>
      <c r="G16" s="195">
        <v>0.65277777777777779</v>
      </c>
      <c r="H16" s="153" t="s">
        <v>98</v>
      </c>
      <c r="I16" s="152">
        <v>1</v>
      </c>
      <c r="J16" s="201" t="s">
        <v>88</v>
      </c>
      <c r="K16" s="202" t="s">
        <v>89</v>
      </c>
      <c r="L16" s="155" t="str">
        <f>IF(N7&gt;P7,L7,IF(P7&gt;N7,M7,"Vincente Sf.9/12-1"))</f>
        <v>S. Pallavolo 2</v>
      </c>
      <c r="M16" s="155" t="str">
        <f>IF(N8&gt;P8,L8,IF(P8&gt;N8,M8,"Vincente Sf.9/12-2"))</f>
        <v>Lunigiana</v>
      </c>
      <c r="N16" s="141">
        <v>0</v>
      </c>
      <c r="O16" s="142" t="s">
        <v>6</v>
      </c>
      <c r="P16" s="143">
        <v>1</v>
      </c>
      <c r="Q16" s="144" t="s">
        <v>7</v>
      </c>
      <c r="R16" s="143">
        <v>3</v>
      </c>
      <c r="S16" s="144" t="s">
        <v>6</v>
      </c>
      <c r="T16" s="143">
        <v>13</v>
      </c>
      <c r="U16" s="144" t="s">
        <v>8</v>
      </c>
      <c r="V16" s="143"/>
      <c r="W16" s="144" t="s">
        <v>6</v>
      </c>
      <c r="X16" s="143"/>
      <c r="Y16" s="144" t="s">
        <v>8</v>
      </c>
      <c r="Z16" s="145"/>
      <c r="AA16" s="144" t="s">
        <v>6</v>
      </c>
      <c r="AB16" s="145"/>
      <c r="AC16" s="156" t="s">
        <v>9</v>
      </c>
      <c r="AD16" s="19"/>
      <c r="AE16" s="19">
        <f t="shared" si="2"/>
        <v>1</v>
      </c>
      <c r="AF16" s="19">
        <f t="shared" si="3"/>
        <v>0</v>
      </c>
      <c r="AG16" s="1">
        <f t="shared" si="4"/>
        <v>11</v>
      </c>
      <c r="AH16" s="1">
        <f t="shared" si="5"/>
        <v>2</v>
      </c>
      <c r="AI16" s="69" t="s">
        <v>102</v>
      </c>
      <c r="AJ16" s="71" t="str">
        <f>IF(N15&lt;P15,L15,IF(P15&lt;N15,M15,"12^"))</f>
        <v>Futura Maschile</v>
      </c>
    </row>
    <row r="17" spans="1:37">
      <c r="B17" s="52" t="s">
        <v>37</v>
      </c>
      <c r="C17" s="66" t="str">
        <f>IFERROR(VLOOKUP(4,'G1'!$AK$6:$AL$9,2,FALSE), "4^ Girone 1")</f>
        <v>S. Brugnato 1</v>
      </c>
      <c r="D17" s="21"/>
      <c r="E17" s="157">
        <f t="shared" si="7"/>
        <v>37</v>
      </c>
      <c r="F17" s="79">
        <v>8</v>
      </c>
      <c r="G17" s="181">
        <v>0.65277777777777779</v>
      </c>
      <c r="H17" s="80" t="s">
        <v>73</v>
      </c>
      <c r="I17" s="79">
        <v>2</v>
      </c>
      <c r="J17" s="81" t="s">
        <v>55</v>
      </c>
      <c r="K17" s="81" t="s">
        <v>56</v>
      </c>
      <c r="L17" s="82" t="str">
        <f>IF(N9&lt;P9,L9,IF(P9&lt;N9,M9,"Perdente Sf.5/8-1"))</f>
        <v>Podenzana 1</v>
      </c>
      <c r="M17" s="82" t="str">
        <f>IF(N10&lt;P10,L10,IF(P10&lt;N10,M10,"Perdente Sf.5/8-2"))</f>
        <v>Futura Femm.</v>
      </c>
      <c r="N17" s="146">
        <v>0</v>
      </c>
      <c r="O17" s="147" t="s">
        <v>6</v>
      </c>
      <c r="P17" s="148">
        <v>1</v>
      </c>
      <c r="Q17" s="149" t="s">
        <v>7</v>
      </c>
      <c r="R17" s="148">
        <v>3</v>
      </c>
      <c r="S17" s="149" t="s">
        <v>6</v>
      </c>
      <c r="T17" s="148">
        <v>11</v>
      </c>
      <c r="U17" s="149" t="s">
        <v>8</v>
      </c>
      <c r="V17" s="148"/>
      <c r="W17" s="149" t="s">
        <v>6</v>
      </c>
      <c r="X17" s="148"/>
      <c r="Y17" s="149" t="s">
        <v>8</v>
      </c>
      <c r="Z17" s="150"/>
      <c r="AA17" s="149" t="s">
        <v>6</v>
      </c>
      <c r="AB17" s="150"/>
      <c r="AC17" s="158" t="s">
        <v>9</v>
      </c>
      <c r="AD17" s="19"/>
      <c r="AE17" s="19"/>
      <c r="AF17" s="19"/>
      <c r="AG17" s="1"/>
      <c r="AH17" s="1"/>
      <c r="AI17" s="69" t="s">
        <v>103</v>
      </c>
      <c r="AJ17" s="70" t="str">
        <f>IF(N14&gt;P14,L14,IF(P14&gt;N14,M14,"13^"))</f>
        <v>Rainbow 1</v>
      </c>
    </row>
    <row r="18" spans="1:37">
      <c r="B18" s="53" t="s">
        <v>41</v>
      </c>
      <c r="C18" s="61" t="str">
        <f>IFERROR(VLOOKUP(4,'G1'!$AK$11:$AL$14,2,FALSE), "4^ Girone 2")</f>
        <v>Podenzana 2</v>
      </c>
      <c r="D18" s="22"/>
      <c r="E18" s="157">
        <f t="shared" si="7"/>
        <v>38</v>
      </c>
      <c r="F18" s="79">
        <v>8</v>
      </c>
      <c r="G18" s="181">
        <v>0.65277777777777779</v>
      </c>
      <c r="H18" s="80" t="s">
        <v>74</v>
      </c>
      <c r="I18" s="79">
        <v>3</v>
      </c>
      <c r="J18" s="81" t="s">
        <v>57</v>
      </c>
      <c r="K18" s="81" t="s">
        <v>58</v>
      </c>
      <c r="L18" s="82" t="str">
        <f>IF(N9&gt;P9,L9,IF(P9&gt;N9,M9,"Vincente Sf.5/8-1"))</f>
        <v>S. Brugnato 2</v>
      </c>
      <c r="M18" s="82" t="str">
        <f>IF(N10&gt;P10,L10,IF(P10&gt;N10,M10,"Vincente Sf.5/8-2"))</f>
        <v>Olimpia</v>
      </c>
      <c r="N18" s="146">
        <v>1</v>
      </c>
      <c r="O18" s="147" t="s">
        <v>6</v>
      </c>
      <c r="P18" s="148">
        <v>0</v>
      </c>
      <c r="Q18" s="149" t="s">
        <v>7</v>
      </c>
      <c r="R18" s="148">
        <v>11</v>
      </c>
      <c r="S18" s="149" t="s">
        <v>6</v>
      </c>
      <c r="T18" s="148">
        <v>10</v>
      </c>
      <c r="U18" s="149" t="s">
        <v>8</v>
      </c>
      <c r="V18" s="148"/>
      <c r="W18" s="149" t="s">
        <v>6</v>
      </c>
      <c r="X18" s="148"/>
      <c r="Y18" s="149" t="s">
        <v>8</v>
      </c>
      <c r="Z18" s="150"/>
      <c r="AA18" s="149" t="s">
        <v>6</v>
      </c>
      <c r="AB18" s="150"/>
      <c r="AC18" s="158" t="s">
        <v>9</v>
      </c>
      <c r="AD18" s="19"/>
      <c r="AE18" s="19"/>
      <c r="AF18" s="19"/>
      <c r="AG18" s="1"/>
      <c r="AH18" s="1"/>
      <c r="AI18" s="69" t="s">
        <v>104</v>
      </c>
      <c r="AJ18" s="71" t="str">
        <f>IF(N14&lt;P14,L14,IF(P14&lt;N14,M14,"14^"))</f>
        <v>Podenzana 2</v>
      </c>
    </row>
    <row r="19" spans="1:37">
      <c r="A19" s="1"/>
      <c r="B19" s="53" t="s">
        <v>45</v>
      </c>
      <c r="C19" s="61" t="str">
        <f>IFERROR(VLOOKUP(4,'G1'!$AK$16:$AL$19,2,FALSE), "4^ Girone 3")</f>
        <v>Rainbow 1</v>
      </c>
      <c r="D19" s="1"/>
      <c r="E19" s="157">
        <f t="shared" si="7"/>
        <v>39</v>
      </c>
      <c r="F19" s="79">
        <v>8</v>
      </c>
      <c r="G19" s="181">
        <v>0.65277777777777779</v>
      </c>
      <c r="H19" s="80" t="s">
        <v>75</v>
      </c>
      <c r="I19" s="79">
        <v>4</v>
      </c>
      <c r="J19" s="81" t="s">
        <v>59</v>
      </c>
      <c r="K19" s="81" t="s">
        <v>60</v>
      </c>
      <c r="L19" s="82" t="str">
        <f>IF(N11&lt;P11,L11,IF(P11&lt;N11,M11,"Perdente Sf.1/4-1"))</f>
        <v>Colombiera</v>
      </c>
      <c r="M19" s="82" t="str">
        <f>IF(N12&lt;P12,L12,IF(P12&lt;N12,M12,"Perdente Sf.1/4-2"))</f>
        <v>S. Bernardo 2</v>
      </c>
      <c r="N19" s="146">
        <v>1</v>
      </c>
      <c r="O19" s="147" t="s">
        <v>6</v>
      </c>
      <c r="P19" s="148">
        <v>0</v>
      </c>
      <c r="Q19" s="149" t="s">
        <v>7</v>
      </c>
      <c r="R19" s="148">
        <v>8</v>
      </c>
      <c r="S19" s="149" t="s">
        <v>6</v>
      </c>
      <c r="T19" s="148">
        <v>7</v>
      </c>
      <c r="U19" s="149" t="s">
        <v>8</v>
      </c>
      <c r="V19" s="148"/>
      <c r="W19" s="149" t="s">
        <v>6</v>
      </c>
      <c r="X19" s="148"/>
      <c r="Y19" s="149" t="s">
        <v>8</v>
      </c>
      <c r="Z19" s="150"/>
      <c r="AA19" s="149" t="s">
        <v>6</v>
      </c>
      <c r="AB19" s="150"/>
      <c r="AC19" s="158" t="s">
        <v>9</v>
      </c>
      <c r="AD19" s="1"/>
      <c r="AE19" s="19"/>
      <c r="AF19" s="19"/>
      <c r="AG19" s="1"/>
      <c r="AH19" s="1"/>
      <c r="AI19" s="69" t="s">
        <v>105</v>
      </c>
      <c r="AJ19" s="70" t="str">
        <f>IF(N13&gt;P13,L13,IF(P13&gt;N13,M13,"15^"))</f>
        <v>S. Brugnato 1</v>
      </c>
      <c r="AK19" s="1"/>
    </row>
    <row r="20" spans="1:37" ht="15.75" thickBot="1">
      <c r="A20" s="1"/>
      <c r="B20" s="54" t="s">
        <v>54</v>
      </c>
      <c r="C20" s="67" t="str">
        <f>IFERROR(VLOOKUP(4,'G1'!$AK$21:$AL$24,2,FALSE), "4^ Girone 4")</f>
        <v>Rainbow 2</v>
      </c>
      <c r="D20" s="1"/>
      <c r="E20" s="159">
        <f t="shared" si="7"/>
        <v>40</v>
      </c>
      <c r="F20" s="160">
        <v>8</v>
      </c>
      <c r="G20" s="198">
        <v>0.65277777777777779</v>
      </c>
      <c r="H20" s="161" t="s">
        <v>76</v>
      </c>
      <c r="I20" s="160">
        <v>5</v>
      </c>
      <c r="J20" s="162" t="s">
        <v>61</v>
      </c>
      <c r="K20" s="162" t="s">
        <v>62</v>
      </c>
      <c r="L20" s="163" t="str">
        <f>IF(N11&gt;P11,L11,IF(P11&gt;N11,M11,"Vincente Sf.1/4-1"))</f>
        <v>S. Pallavolo 1</v>
      </c>
      <c r="M20" s="163" t="str">
        <f>IF(N12&gt;P12,L12,IF(P12&gt;N12,M12,"Vincente Sf.1/4-2"))</f>
        <v>S. Bernardo 1</v>
      </c>
      <c r="N20" s="164">
        <v>1</v>
      </c>
      <c r="O20" s="165" t="s">
        <v>6</v>
      </c>
      <c r="P20" s="166">
        <v>0</v>
      </c>
      <c r="Q20" s="167" t="s">
        <v>7</v>
      </c>
      <c r="R20" s="166">
        <v>11</v>
      </c>
      <c r="S20" s="167" t="s">
        <v>6</v>
      </c>
      <c r="T20" s="166">
        <v>2</v>
      </c>
      <c r="U20" s="167" t="s">
        <v>8</v>
      </c>
      <c r="V20" s="166"/>
      <c r="W20" s="167" t="s">
        <v>6</v>
      </c>
      <c r="X20" s="166"/>
      <c r="Y20" s="167" t="s">
        <v>8</v>
      </c>
      <c r="Z20" s="168"/>
      <c r="AA20" s="167" t="s">
        <v>6</v>
      </c>
      <c r="AB20" s="168"/>
      <c r="AC20" s="169" t="s">
        <v>9</v>
      </c>
      <c r="AD20" s="1"/>
      <c r="AE20" s="19"/>
      <c r="AF20" s="19"/>
      <c r="AG20" s="1"/>
      <c r="AH20" s="1"/>
      <c r="AI20" s="69" t="s">
        <v>106</v>
      </c>
      <c r="AJ20" s="72" t="str">
        <f>IF(N13&lt;P13,L13,IF(P13&lt;N13,M13,"16^"))</f>
        <v>Rainbow 2</v>
      </c>
      <c r="AK20" s="1"/>
    </row>
    <row r="21" spans="1:37">
      <c r="AK21" t="s">
        <v>77</v>
      </c>
    </row>
    <row r="22" spans="1:37" hidden="1"/>
    <row r="23" spans="1:37" hidden="1"/>
    <row r="24" spans="1:37" hidden="1"/>
    <row r="25" spans="1:37" hidden="1"/>
    <row r="26" spans="1:37" hidden="1"/>
    <row r="27" spans="1:37" hidden="1"/>
    <row r="28" spans="1:37" hidden="1"/>
    <row r="29" spans="1:37" hidden="1"/>
  </sheetData>
  <sheetProtection sheet="1" selectLockedCells="1"/>
  <dataConsolidate function="stdDev"/>
  <mergeCells count="6">
    <mergeCell ref="C1:C2"/>
    <mergeCell ref="D1:AJ1"/>
    <mergeCell ref="D2:AJ2"/>
    <mergeCell ref="AI4:AJ4"/>
    <mergeCell ref="L4:M4"/>
    <mergeCell ref="N4:AC4"/>
  </mergeCells>
  <pageMargins left="0.7" right="0.7" top="0.75" bottom="0.75" header="0.3" footer="0.3"/>
  <pageSetup paperSize="9" scale="81" fitToHeight="0" orientation="landscape" horizontalDpi="1200" verticalDpi="1200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G1</vt:lpstr>
      <vt:lpstr>G2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Massimo Guelfi</cp:lastModifiedBy>
  <cp:lastPrinted>2019-02-04T11:43:55Z</cp:lastPrinted>
  <dcterms:created xsi:type="dcterms:W3CDTF">2017-02-21T19:23:01Z</dcterms:created>
  <dcterms:modified xsi:type="dcterms:W3CDTF">2019-02-04T11:44:11Z</dcterms:modified>
</cp:coreProperties>
</file>